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codeName="ThisWorkbook" defaultThemeVersion="124226"/>
  <mc:AlternateContent xmlns:mc="http://schemas.openxmlformats.org/markup-compatibility/2006">
    <mc:Choice Requires="x15">
      <x15ac:absPath xmlns:x15ac="http://schemas.microsoft.com/office/spreadsheetml/2010/11/ac" url="P:\COMMERCIE\MARKT\alonju1\Hella Gutmann\"/>
    </mc:Choice>
  </mc:AlternateContent>
  <xr:revisionPtr revIDLastSave="0" documentId="8_{9A5CE9BA-8E35-4C00-8B61-C4444C115971}" xr6:coauthVersionLast="47" xr6:coauthVersionMax="47" xr10:uidLastSave="{00000000-0000-0000-0000-000000000000}"/>
  <bookViews>
    <workbookView xWindow="-110" yWindow="-110" windowWidth="19420" windowHeight="10420" xr2:uid="{00000000-000D-0000-FFFF-FFFF00000000}"/>
  </bookViews>
  <sheets>
    <sheet name="Manual" sheetId="137" r:id="rId1"/>
    <sheet name="TAB 1" sheetId="122" r:id="rId2"/>
    <sheet name="TAB 2" sheetId="135"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m">#REF!</definedName>
    <definedName name="________DAT10" localSheetId="2">#REF!</definedName>
    <definedName name="________DAT10">#REF!</definedName>
    <definedName name="________DAT3" localSheetId="2">#REF!</definedName>
    <definedName name="________DAT3">#REF!</definedName>
    <definedName name="________DAT8" localSheetId="2">#REF!</definedName>
    <definedName name="________DAT8">#REF!</definedName>
    <definedName name="________DAT9">#REF!</definedName>
    <definedName name="______DAT1">#REF!</definedName>
    <definedName name="______DAT10">#REF!</definedName>
    <definedName name="______DAT11">#REF!</definedName>
    <definedName name="______DAT12">#REF!</definedName>
    <definedName name="______DAT2">#REF!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DAT1">#REF!</definedName>
    <definedName name="_____DAT11">#REF!</definedName>
    <definedName name="_____DAT12">#REF!</definedName>
    <definedName name="_____DAT2">#REF!</definedName>
    <definedName name="_____DAT4">#REF!</definedName>
    <definedName name="_____DAT5">#REF!</definedName>
    <definedName name="_____DAT6">#REF!</definedName>
    <definedName name="_____DAT7">#REF!</definedName>
    <definedName name="____DAT1">#REF!</definedName>
    <definedName name="____DAT10">#REF!</definedName>
    <definedName name="____DAT11">#REF!</definedName>
    <definedName name="____DAT12">#REF!</definedName>
    <definedName name="____DAT2">#REF!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DAT1">#REF!</definedName>
    <definedName name="___DAT10">#REF!</definedName>
    <definedName name="___DAT11">#REF!</definedName>
    <definedName name="___DAT12">#REF!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c" hidden="1">{#N/A,#N/A,FALSE,"Tailgate";#N/A,#N/A,FALSE,"TR-lid";#N/A,#N/A,FALSE,"TR-rco";#N/A,#N/A,FALSE,"TR-panel";#N/A,#N/A,FALSE,"TR-floormat";#N/A,#N/A,FALSE,"TR-floormat"}</definedName>
    <definedName name="_DAT1" localSheetId="2">#REF!</definedName>
    <definedName name="_DAT1">#REF!</definedName>
    <definedName name="_DAT10">#REF!</definedName>
    <definedName name="_DAT11">#REF!</definedName>
    <definedName name="_DAT12">#REF!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xlnm._FilterDatabase" localSheetId="1" hidden="1">'TAB 1'!$A$3:$L$109</definedName>
    <definedName name="_xlnm._FilterDatabase" localSheetId="2" hidden="1">'TAB 2'!$A$1:$C$99</definedName>
    <definedName name="a" hidden="1">{#N/A,#N/A,FALSE,"Tailgate";#N/A,#N/A,FALSE,"TR-lid";#N/A,#N/A,FALSE,"TR-rco";#N/A,#N/A,FALSE,"TR-panel";#N/A,#N/A,FALSE,"TR-floormat";#N/A,#N/A,FALSE,"TR-floormat"}</definedName>
    <definedName name="A_Fahrzeugverwendungen_Gesamt" localSheetId="2">#REF!</definedName>
    <definedName name="A_Fahrzeugverwendungen_Gesamt">#REF!</definedName>
    <definedName name="Abfrage_von_Microsoft_Access_Datenbank">#REF!</definedName>
    <definedName name="Abfrage_von_Microsoft_Access_Datenbank_1">#REF!</definedName>
    <definedName name="Abfrage3" localSheetId="2">#REF!</definedName>
    <definedName name="Abfrage3">#REF!</definedName>
    <definedName name="AccessDatabase" hidden="1">"C:\bewdaten\ACCESS\KEKBEW01.mdb"</definedName>
    <definedName name="Actual_DE">[1]DE!#REF!</definedName>
    <definedName name="Aggregation">#REF!</definedName>
    <definedName name="Application">[2]Lookups!$A$22:$A$30</definedName>
    <definedName name="Article">[3]EPL!$B$2:$B$700</definedName>
    <definedName name="Assortment_Electronics" localSheetId="2">#REF!</definedName>
    <definedName name="Assortment_Electronics">#REF!</definedName>
    <definedName name="Auswertung_Land" localSheetId="2">#REF!</definedName>
    <definedName name="Auswertung_Land">#REF!</definedName>
    <definedName name="Axle">[2]Lookups!$A$18:$A$20</definedName>
    <definedName name="Best_Nr_New_in_Cat" localSheetId="2">#REF!</definedName>
    <definedName name="Best_Nr_New_in_Cat">#REF!</definedName>
    <definedName name="Best_Nr_Not_More_in_Cat" localSheetId="2">#REF!</definedName>
    <definedName name="Best_Nr_Not_More_in_Cat">#REF!</definedName>
    <definedName name="BOM">#REF!</definedName>
    <definedName name="Brand">[4]Lookups!$A$37:$A$43</definedName>
    <definedName name="Brand_Ref">[2]Lookups!$A$1:$A$16</definedName>
    <definedName name="Budget_DE">[1]DE!#REF!</definedName>
    <definedName name="BusinessUnits">OFFSET(#REF!,1,,COUNTA(#REF!)-1)</definedName>
    <definedName name="CCY">'[5]Set-up'!$B$6</definedName>
    <definedName name="Cockpit_Chart_5">OFFSET(#REF!,1,,COUNTA(#REF!)-1)</definedName>
    <definedName name="Cockpitchart_6">OFFSET(#REF!,1,,COUNTA(#REF!)-1)</definedName>
    <definedName name="Company">[6]Lookup!$H$17:$H$37</definedName>
    <definedName name="Competitor_No___Hella_No" localSheetId="2">#REF!</definedName>
    <definedName name="Competitor_No___Hella_No">#REF!</definedName>
    <definedName name="COST">#REF!</definedName>
    <definedName name="CSC_Tool_Target__Unit">#REF!</definedName>
    <definedName name="Currency">'[4]FX rates'!$A$3:$A$40</definedName>
    <definedName name="Customer">'[4]Policy Price Discount details'!$A$5:$A$101</definedName>
    <definedName name="dat">#REF!</definedName>
    <definedName name="DATA">#REF!</definedName>
    <definedName name="DATA__INPUT">#REF!</definedName>
    <definedName name="DATA_INPUT">#REF!</definedName>
    <definedName name="DATA1" localSheetId="2">#REF!</definedName>
    <definedName name="DATA1">#REF!</definedName>
    <definedName name="DATA10" localSheetId="2">#REF!</definedName>
    <definedName name="DATA10">#REF!</definedName>
    <definedName name="DATA2" localSheetId="2">#REF!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_xlnm.Database">#REF!</definedName>
    <definedName name="datan">#REF!</definedName>
    <definedName name="Date">[6]Lookup!$A$3:$A$14</definedName>
    <definedName name="DATEN">[7]DATEN!$A$2:$CX$7499</definedName>
    <definedName name="Datum">#REF!</definedName>
    <definedName name="ddd" hidden="1">{#N/A,#N/A,FALSE,"Tailgate";#N/A,#N/A,FALSE,"TR-lid";#N/A,#N/A,FALSE,"TR-rco";#N/A,#N/A,FALSE,"TR-panel";#N/A,#N/A,FALSE,"TR-floormat";#N/A,#N/A,FALSE,"TR-floormat"}</definedName>
    <definedName name="Deutschland_EO_05" localSheetId="2">#REF!</definedName>
    <definedName name="Deutschland_EO_05">#REF!</definedName>
    <definedName name="DR_Stamm">#REF!</definedName>
    <definedName name="dus" localSheetId="2">#REF!</definedName>
    <definedName name="dus">#REF!</definedName>
    <definedName name="E">#REF!</definedName>
    <definedName name="ECCS_HA_SONDER_DAT">#REF!</definedName>
    <definedName name="ECCSHA_DAT">#REF!</definedName>
    <definedName name="eee" hidden="1">[8]GH_KER_IST!#REF!</definedName>
    <definedName name="eeee" hidden="1">[8]GH_KER_IST!#REF!</definedName>
    <definedName name="EUR">#REF!</definedName>
    <definedName name="Exp_ARTLIST_PrixStockVte_SelFourPref" localSheetId="2">#REF!</definedName>
    <definedName name="Exp_ARTLIST_PrixStockVte_SelFourPref">#REF!</definedName>
    <definedName name="Fahrzeugverknüpfungen_EN">#REF!</definedName>
    <definedName name="Forecast_DE">[1]DE!#REF!</definedName>
    <definedName name="Forecast_SK">[1]CZ_SK!#REF!</definedName>
    <definedName name="FX_Rate" localSheetId="2">#REF!</definedName>
    <definedName name="FX_Rate">#REF!</definedName>
    <definedName name="FX_Ref">[4]Lookups!$A$33:$A$35</definedName>
    <definedName name="FX_Table" localSheetId="2">#REF!</definedName>
    <definedName name="FX_Table">#REF!</definedName>
    <definedName name="FXAREA">[6]Currency_selection!$AA$1:$AA$2</definedName>
    <definedName name="g">#REF!</definedName>
    <definedName name="gh">OFFSET(#REF!,1,,COUNTA(#REF!)-1)</definedName>
    <definedName name="hana">#REF!</definedName>
    <definedName name="hfhfh">#REF!</definedName>
    <definedName name="hpnummer" localSheetId="2">[9]Tabelle1!$B$2:$G$55</definedName>
    <definedName name="hpnummer">[10]Tabelle1!$B$2:$G$55</definedName>
    <definedName name="id" localSheetId="2" hidden="1">Main.SAPF4Help()</definedName>
    <definedName name="id" hidden="1">Main.SAPF4Help()</definedName>
    <definedName name="input">#REF!</definedName>
    <definedName name="IO" localSheetId="2" hidden="1">Main.SAPF4Help()</definedName>
    <definedName name="IO" hidden="1">Main.SAPF4Help()</definedName>
    <definedName name="IP">OFFSET(#REF!,1,,COUNTA(#REF!)-1)</definedName>
    <definedName name="iulia">#REF!</definedName>
    <definedName name="Jahr">#REF!</definedName>
    <definedName name="jjjjj">#REF!</definedName>
    <definedName name="KEKDAT_PLAN">#REF!</definedName>
    <definedName name="KEKDAT_PLAN1">#REF!</definedName>
    <definedName name="L">#REF!</definedName>
    <definedName name="LKS">#REF!</definedName>
    <definedName name="lll">#REF!</definedName>
    <definedName name="Lotus_Notes_finished">[11]Lotus_Notes_finished!$A$1:$F$63136</definedName>
    <definedName name="MAIN">#REF!</definedName>
    <definedName name="Manufacturer_No___Hella_No" localSheetId="2">#REF!</definedName>
    <definedName name="Manufacturer_No___Hella_No">#REF!</definedName>
    <definedName name="Market">[4]Lookups!$A$24:$A$31</definedName>
    <definedName name="Marketing_Gruppe_GH_4_2">[12]Marketing_Gruppe_GH_4_2!$A$1:$E$135</definedName>
    <definedName name="Materialstamm">OFFSET('[13]Materialstamm 12.09.2017'!$D$2,,,COUNTA('[13]Materialstamm 12.09.2017'!$A:$A),COUNTA('[13]Materialstamm 12.09.2017'!$1:$1))</definedName>
    <definedName name="Matrix" localSheetId="2">#REF!</definedName>
    <definedName name="Matrix">#REF!</definedName>
    <definedName name="Method" localSheetId="2">[4]Lookups!#REF!</definedName>
    <definedName name="Method">[4]Lookups!#REF!</definedName>
    <definedName name="MKT_REF">[14]Sheet1!$A$2:$A$36</definedName>
    <definedName name="Month">[15]Sheet3!$C$1:$C$12</definedName>
    <definedName name="naam" localSheetId="2">'[16]2005'!#REF!</definedName>
    <definedName name="naam">'[16]2005'!#REF!</definedName>
    <definedName name="Net_Product_Sales">#REF!</definedName>
    <definedName name="new">#REF!</definedName>
    <definedName name="oe" localSheetId="2">#REF!</definedName>
    <definedName name="oe">#REF!</definedName>
    <definedName name="P">#REF!</definedName>
    <definedName name="Periode">#REF!</definedName>
    <definedName name="Personnel">#REF!</definedName>
    <definedName name="Pivot">#REF!</definedName>
    <definedName name="pl" localSheetId="2">#REF!</definedName>
    <definedName name="pl">#REF!</definedName>
    <definedName name="PLAN_DATA_CUST_GROUP">'[17]CUST_GROUP(3)'!$A$2:$N$31</definedName>
    <definedName name="PLAN_DATA_MONTH">#REF!</definedName>
    <definedName name="PLAN_DATA_SUPP_BU_HCL">'[17]SUPP_BU_HCL(2)'!$A$2:$R$1416</definedName>
    <definedName name="PLE_1_Personnel">#REF!</definedName>
    <definedName name="PLE_1_SALES">#REF!</definedName>
    <definedName name="PLE_2_Personnel">#REF!</definedName>
    <definedName name="PLE_2_SALES">#REF!</definedName>
    <definedName name="PLE_3_Personnel">#REF!</definedName>
    <definedName name="PLE_3_SALES">#REF!</definedName>
    <definedName name="PLE_4_Personnel">#REF!</definedName>
    <definedName name="PLE_4_SALES">#REF!</definedName>
    <definedName name="PLE_5_Personnel">#REF!</definedName>
    <definedName name="PLE_5_SALES">#REF!</definedName>
    <definedName name="PLE_6_Personnel">#REF!</definedName>
    <definedName name="PLE_6_SALES">#REF!</definedName>
    <definedName name="PLE_7_Personnel">#REF!</definedName>
    <definedName name="PLE_7_SALES">#REF!</definedName>
    <definedName name="PLE_8_Personnel">#REF!</definedName>
    <definedName name="PLE_8_SALES">#REF!</definedName>
    <definedName name="pll" localSheetId="2">#REF!</definedName>
    <definedName name="pll">#REF!</definedName>
    <definedName name="PM_Artikel">#REF!</definedName>
    <definedName name="PM_Artikel__German_">#REF!</definedName>
    <definedName name="Price_change">[4]Lookups!$A$2:$A$22</definedName>
    <definedName name="_xlnm.Print_Area" localSheetId="2">'TAB 2'!$B$1:$C$99</definedName>
    <definedName name="Print_Area_MI">#REF!</definedName>
    <definedName name="Priority">OFFSET(#REF!,1,,COUNTA(#REF!)-1)</definedName>
    <definedName name="PROCESS">#REF!</definedName>
    <definedName name="Q10___FINAL_DATA" localSheetId="2">#REF!</definedName>
    <definedName name="Q10___FINAL_DATA">#REF!</definedName>
    <definedName name="Q13___Adding_VDO" localSheetId="2">#REF!</definedName>
    <definedName name="Q13___Adding_VDO">#REF!</definedName>
    <definedName name="Q15___Adding_Vemo" localSheetId="2">#REF!</definedName>
    <definedName name="Q15___Adding_Vemo">#REF!</definedName>
    <definedName name="Q17___Adding_Metzger">#REF!</definedName>
    <definedName name="Q17___Ideal_Range___All_countries___FINAL">#REF!</definedName>
    <definedName name="Q353___Adding_Xrefs___FINAL_DATA">#REF!</definedName>
    <definedName name="Q4___BOSCH_Xrefs">#REF!</definedName>
    <definedName name="Q479___Switches___FINAL_DATA">#REF!</definedName>
    <definedName name="Q5___VEMO_Xrefs">#REF!</definedName>
    <definedName name="Q6___FEBI_Xrefs">#REF!</definedName>
    <definedName name="Q7___METZGER_Xrefs">#REF!</definedName>
    <definedName name="Query1">#REF!</definedName>
    <definedName name="range1">#REF!</definedName>
    <definedName name="Rate">#REF!</definedName>
    <definedName name="Recover">[6]Macro1!$A$69</definedName>
    <definedName name="Response">[15]Sheet3!$A$1:$A$2</definedName>
    <definedName name="Result_of_GE_HKG">#REF!</definedName>
    <definedName name="ROE">#REF!</definedName>
    <definedName name="Sales_Channel">[4]Lookups!$A$44:$A$50</definedName>
    <definedName name="SAPBEXdnldView" hidden="1">"8ZX9ZDA6OM9OP4OF70G9MNJIS"</definedName>
    <definedName name="SAPBEXrevision" hidden="1">0</definedName>
    <definedName name="SAPBEXsysID" hidden="1">"BI1"</definedName>
    <definedName name="SAPBEXwbID" hidden="1">"3XFCSOJ1XPBU8APTGOWA05ZSO"</definedName>
    <definedName name="SAPFuncF4Help" localSheetId="2" hidden="1">Main.SAPF4Help()</definedName>
    <definedName name="SAPFuncF4Help" hidden="1">Main.SAPF4Help()</definedName>
    <definedName name="Scenario1">#REF!</definedName>
    <definedName name="Scenario2">#REF!</definedName>
    <definedName name="Scenario3">#REF!</definedName>
    <definedName name="Scenario4">#REF!</definedName>
    <definedName name="Scenario5">#REF!</definedName>
    <definedName name="Scenario6">#REF!</definedName>
    <definedName name="Scenario7">#REF!</definedName>
    <definedName name="Scenario8">#REF!</definedName>
    <definedName name="Size">[2]Lookups!$A$32:$A$126</definedName>
    <definedName name="statie" localSheetId="2">#REF!</definedName>
    <definedName name="statie">#REF!</definedName>
    <definedName name="Status">OFFSET(#REF!,1,,COUNTA(#REF!)-1)</definedName>
    <definedName name="statverk" localSheetId="2">#REF!</definedName>
    <definedName name="statverk">#REF!</definedName>
    <definedName name="Summary">#REF!</definedName>
    <definedName name="T_rest">#REF!</definedName>
    <definedName name="T_Umsatz_EE2">#REF!</definedName>
    <definedName name="T_Umsatz_EE3">#REF!</definedName>
    <definedName name="T_Umsatz_GE_Hawa">#REF!</definedName>
    <definedName name="TableName">"Dummy"</definedName>
    <definedName name="Tarifnl41_1_Oms" localSheetId="2">#REF!</definedName>
    <definedName name="Tarifnl41_1_Oms">#REF!</definedName>
    <definedName name="Tarifnl41_2_Oms" localSheetId="2">#REF!</definedName>
    <definedName name="Tarifnl41_2_Oms">#REF!</definedName>
    <definedName name="TB_PriceList" localSheetId="2">#REF!</definedName>
    <definedName name="TB_PriceList">#REF!</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O_Development">#REF!</definedName>
    <definedName name="ttt">#REF!</definedName>
    <definedName name="USD">#REF!</definedName>
    <definedName name="Utility_Machines_e.g._Forklift___OEM">'[17]CUST_GROUP(3)'!$A$2:$N$31</definedName>
    <definedName name="varta" localSheetId="2">[9]Varta!$A$2:$D$67</definedName>
    <definedName name="varta">[10]Varta!$A$2:$D$67</definedName>
    <definedName name="Wave">[2]Lookups!$A$131:$A$134</definedName>
    <definedName name="Week">'[18]Input summary'!$A$2:$A$53</definedName>
    <definedName name="Week2">[18]Lookups!$N$1:$N$54</definedName>
    <definedName name="YEN">#REF!</definedName>
    <definedName name="Z806_032_Kundengruppe_23_Holl_Belg_Kozielski_2006_2007_1_" localSheetId="2">#REF!</definedName>
    <definedName name="Z806_032_Kundengruppe_23_Holl_Belg_Kozielski_2006_2007_1_">#REF!</definedName>
  </definedNames>
  <calcPr calcId="191028"/>
  <customWorkbookViews>
    <customWorkbookView name="Juan Alonso - Persoonlijke weergave" guid="{F7727B7B-0357-441B-B404-3F62CA050DFA}" mergeInterval="0" personalView="1" maximized="1" windowWidth="1148" windowHeight="692"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122" l="1"/>
  <c r="E43" i="122"/>
  <c r="E42" i="122"/>
  <c r="E38" i="122"/>
  <c r="E37" i="122"/>
  <c r="E35" i="122"/>
  <c r="E34" i="122"/>
  <c r="E33" i="122"/>
  <c r="E32" i="122"/>
  <c r="E30" i="122"/>
  <c r="E27" i="122"/>
  <c r="E26" i="122"/>
  <c r="E24" i="122"/>
  <c r="E23" i="122"/>
  <c r="E22" i="122"/>
  <c r="E21" i="122"/>
  <c r="E16" i="122"/>
  <c r="E6" i="122"/>
  <c r="E5" i="122"/>
  <c r="D4" i="135"/>
  <c r="G21" i="122"/>
  <c r="C8" i="135" s="1"/>
  <c r="H1" i="122"/>
  <c r="C102" i="122" s="1"/>
  <c r="F1" i="122"/>
  <c r="D70" i="135"/>
  <c r="D58" i="135"/>
  <c r="D54" i="135"/>
  <c r="D50" i="135"/>
  <c r="D46" i="135"/>
  <c r="D42" i="135"/>
  <c r="E8" i="122" l="1"/>
  <c r="E76" i="122"/>
  <c r="E84" i="122"/>
  <c r="E94" i="122"/>
  <c r="E102" i="122"/>
  <c r="E51" i="122"/>
  <c r="E59" i="122"/>
  <c r="E67" i="122"/>
  <c r="G67" i="122" s="1"/>
  <c r="E77" i="122"/>
  <c r="E85" i="122"/>
  <c r="E95" i="122"/>
  <c r="E103" i="122"/>
  <c r="E53" i="122"/>
  <c r="E61" i="122"/>
  <c r="E69" i="122"/>
  <c r="E79" i="122"/>
  <c r="G79" i="122" s="1"/>
  <c r="E87" i="122"/>
  <c r="E97" i="122"/>
  <c r="E105" i="122"/>
  <c r="E60" i="122"/>
  <c r="E96" i="122"/>
  <c r="E39" i="122"/>
  <c r="E54" i="122"/>
  <c r="E62" i="122"/>
  <c r="G62" i="122" s="1"/>
  <c r="E72" i="122"/>
  <c r="E80" i="122"/>
  <c r="E88" i="122"/>
  <c r="E98" i="122"/>
  <c r="E106" i="122"/>
  <c r="E17" i="122"/>
  <c r="E55" i="122"/>
  <c r="E63" i="122"/>
  <c r="G63" i="122" s="1"/>
  <c r="E73" i="122"/>
  <c r="E81" i="122"/>
  <c r="E89" i="122"/>
  <c r="E99" i="122"/>
  <c r="E107" i="122"/>
  <c r="E58" i="122"/>
  <c r="G58" i="122" s="1"/>
  <c r="E68" i="122"/>
  <c r="E86" i="122"/>
  <c r="G86" i="122" s="1"/>
  <c r="E28" i="122"/>
  <c r="E56" i="122"/>
  <c r="E64" i="122"/>
  <c r="E74" i="122"/>
  <c r="E82" i="122"/>
  <c r="E90" i="122"/>
  <c r="E100" i="122"/>
  <c r="E108" i="122"/>
  <c r="G108" i="122" s="1"/>
  <c r="E66" i="122"/>
  <c r="E52" i="122"/>
  <c r="G52" i="122" s="1"/>
  <c r="E78" i="122"/>
  <c r="E104" i="122"/>
  <c r="E44" i="122"/>
  <c r="E57" i="122"/>
  <c r="G57" i="122" s="1"/>
  <c r="E65" i="122"/>
  <c r="E75" i="122"/>
  <c r="G75" i="122" s="1"/>
  <c r="E83" i="122"/>
  <c r="G83" i="122" s="1"/>
  <c r="E91" i="122"/>
  <c r="E101" i="122"/>
  <c r="E109" i="122"/>
  <c r="G87" i="122"/>
  <c r="G72" i="122"/>
  <c r="G80" i="122"/>
  <c r="G88" i="122"/>
  <c r="G60" i="122"/>
  <c r="G74" i="122"/>
  <c r="G82" i="122"/>
  <c r="G59" i="122"/>
  <c r="C71" i="122"/>
  <c r="G61" i="122"/>
  <c r="G55" i="122"/>
  <c r="G65" i="122"/>
  <c r="G91" i="122"/>
  <c r="G66" i="122"/>
  <c r="G76" i="122"/>
  <c r="C50" i="122"/>
  <c r="C4" i="122"/>
  <c r="B16" i="135"/>
  <c r="C7" i="122"/>
  <c r="C6" i="122"/>
  <c r="B48" i="135"/>
  <c r="B44" i="135"/>
  <c r="B52" i="135"/>
  <c r="B56" i="135"/>
  <c r="B60" i="135"/>
  <c r="D1" i="135"/>
  <c r="G95" i="122"/>
  <c r="G73" i="122"/>
  <c r="G99" i="122"/>
  <c r="G84" i="122"/>
  <c r="G94" i="122"/>
  <c r="G102" i="122"/>
  <c r="G78" i="122"/>
  <c r="G96" i="122"/>
  <c r="G104" i="122"/>
  <c r="G53" i="122"/>
  <c r="G69" i="122"/>
  <c r="G97" i="122"/>
  <c r="G105" i="122"/>
  <c r="G85" i="122"/>
  <c r="G54" i="122"/>
  <c r="G98" i="122"/>
  <c r="G81" i="122"/>
  <c r="G107" i="122"/>
  <c r="G56" i="122"/>
  <c r="G64" i="122"/>
  <c r="G90" i="122"/>
  <c r="G100" i="122"/>
  <c r="G51" i="122"/>
  <c r="G77" i="122"/>
  <c r="G103" i="122"/>
  <c r="G106" i="122"/>
  <c r="G89" i="122"/>
  <c r="G101" i="122"/>
  <c r="G109" i="122"/>
  <c r="G44" i="122"/>
  <c r="B4" i="122"/>
  <c r="C48" i="122"/>
  <c r="C5" i="122"/>
  <c r="C16" i="122"/>
  <c r="C28" i="122"/>
  <c r="C44" i="122"/>
  <c r="C72" i="122"/>
  <c r="C79" i="122"/>
  <c r="C17" i="122"/>
  <c r="C80" i="122"/>
  <c r="C87" i="122"/>
  <c r="C8" i="122"/>
  <c r="G17" i="122"/>
  <c r="C29" i="122"/>
  <c r="C46" i="122"/>
  <c r="C58" i="122"/>
  <c r="C22" i="122"/>
  <c r="C61" i="122"/>
  <c r="C15" i="122"/>
  <c r="G11" i="122"/>
  <c r="C27" i="122"/>
  <c r="C69" i="122"/>
  <c r="C97" i="122"/>
  <c r="G9" i="122"/>
  <c r="G19" i="122"/>
  <c r="C33" i="122"/>
  <c r="C66" i="122"/>
  <c r="C10" i="122"/>
  <c r="C20" i="122"/>
  <c r="C34" i="122"/>
  <c r="C76" i="122"/>
  <c r="C94" i="122"/>
  <c r="G10" i="122"/>
  <c r="G20" i="122"/>
  <c r="C38" i="122"/>
  <c r="C53" i="122"/>
  <c r="C84" i="122"/>
  <c r="C105" i="122"/>
  <c r="C54" i="122"/>
  <c r="C40" i="122"/>
  <c r="G4" i="122"/>
  <c r="G40" i="122"/>
  <c r="C62" i="122"/>
  <c r="C35" i="122"/>
  <c r="C42" i="122"/>
  <c r="C56" i="122"/>
  <c r="C64" i="122"/>
  <c r="C74" i="122"/>
  <c r="C82" i="122"/>
  <c r="C90" i="122"/>
  <c r="C100" i="122"/>
  <c r="C108" i="122"/>
  <c r="C11" i="122"/>
  <c r="C21" i="122"/>
  <c r="G28" i="122"/>
  <c r="C37" i="122"/>
  <c r="C43" i="122"/>
  <c r="C51" i="122"/>
  <c r="C59" i="122"/>
  <c r="C67" i="122"/>
  <c r="C77" i="122"/>
  <c r="C85" i="122"/>
  <c r="C95" i="122"/>
  <c r="C103" i="122"/>
  <c r="C109" i="122"/>
  <c r="C88" i="122"/>
  <c r="C98" i="122"/>
  <c r="C106" i="122"/>
  <c r="C12" i="122"/>
  <c r="C23" i="122"/>
  <c r="C39" i="122"/>
  <c r="C83" i="122"/>
  <c r="C91" i="122"/>
  <c r="C101" i="122"/>
  <c r="D4" i="122"/>
  <c r="G8" i="122"/>
  <c r="C13" i="122"/>
  <c r="G18" i="122"/>
  <c r="C24" i="122"/>
  <c r="C30" i="122"/>
  <c r="C52" i="122"/>
  <c r="C60" i="122"/>
  <c r="C68" i="122"/>
  <c r="C78" i="122"/>
  <c r="C86" i="122"/>
  <c r="C96" i="122"/>
  <c r="C104" i="122"/>
  <c r="C18" i="122"/>
  <c r="G29" i="122"/>
  <c r="C57" i="122"/>
  <c r="C65" i="122"/>
  <c r="C75" i="122"/>
  <c r="E4" i="122"/>
  <c r="C9" i="122"/>
  <c r="C14" i="122"/>
  <c r="C19" i="122"/>
  <c r="C26" i="122"/>
  <c r="C32" i="122"/>
  <c r="G39" i="122"/>
  <c r="C45" i="122"/>
  <c r="C55" i="122"/>
  <c r="C63" i="122"/>
  <c r="C73" i="122"/>
  <c r="C81" i="122"/>
  <c r="C89" i="122"/>
  <c r="C99" i="122"/>
  <c r="C107" i="122"/>
  <c r="B21" i="135"/>
  <c r="B1" i="135"/>
  <c r="B91" i="135"/>
  <c r="B40" i="135"/>
  <c r="B50" i="135"/>
  <c r="B80" i="135"/>
  <c r="B90" i="135"/>
  <c r="B24" i="135"/>
  <c r="B98" i="135"/>
  <c r="B32" i="135"/>
  <c r="B5" i="135"/>
  <c r="B71" i="135"/>
  <c r="B17" i="135"/>
  <c r="B25" i="135"/>
  <c r="B33" i="135"/>
  <c r="B41" i="135"/>
  <c r="B51" i="135"/>
  <c r="B62" i="135"/>
  <c r="B72" i="135"/>
  <c r="B81" i="135"/>
  <c r="B99" i="135"/>
  <c r="B18" i="135"/>
  <c r="B26" i="135"/>
  <c r="B42" i="135"/>
  <c r="B63" i="135"/>
  <c r="B73" i="135"/>
  <c r="B83" i="135"/>
  <c r="B92" i="135"/>
  <c r="B4" i="135"/>
  <c r="B11" i="135"/>
  <c r="B19" i="135"/>
  <c r="B27" i="135"/>
  <c r="B35" i="135"/>
  <c r="B43" i="135"/>
  <c r="B54" i="135"/>
  <c r="B64" i="135"/>
  <c r="B74" i="135"/>
  <c r="B84" i="135"/>
  <c r="B93" i="135"/>
  <c r="B12" i="135"/>
  <c r="B20" i="135"/>
  <c r="B36" i="135"/>
  <c r="B55" i="135"/>
  <c r="B65" i="135"/>
  <c r="B76" i="135"/>
  <c r="B85" i="135"/>
  <c r="B13" i="135"/>
  <c r="B29" i="135"/>
  <c r="B46" i="135"/>
  <c r="B66" i="135"/>
  <c r="B77" i="135"/>
  <c r="B86" i="135"/>
  <c r="B95" i="135"/>
  <c r="B2" i="135"/>
  <c r="B22" i="135"/>
  <c r="B30" i="135"/>
  <c r="B38" i="135"/>
  <c r="B47" i="135"/>
  <c r="B58" i="135"/>
  <c r="B69" i="135"/>
  <c r="B78" i="135"/>
  <c r="B87" i="135"/>
  <c r="B96" i="135"/>
  <c r="B3" i="135"/>
  <c r="B15" i="135"/>
  <c r="B23" i="135"/>
  <c r="B39" i="135"/>
  <c r="B59" i="135"/>
  <c r="B70" i="135"/>
  <c r="B79" i="135"/>
  <c r="B88" i="135"/>
  <c r="C20" i="135"/>
  <c r="D30" i="122"/>
  <c r="D38" i="122"/>
  <c r="G32" i="122"/>
  <c r="D35" i="122"/>
  <c r="D34" i="122"/>
  <c r="D33" i="122"/>
  <c r="D27" i="122"/>
  <c r="G22" i="122"/>
  <c r="D12" i="122"/>
  <c r="E12" i="122" s="1"/>
  <c r="D14" i="122"/>
  <c r="E14" i="122" s="1"/>
  <c r="D15" i="122"/>
  <c r="E15" i="122" s="1"/>
  <c r="D16" i="122"/>
  <c r="D13" i="122"/>
  <c r="E13" i="122" s="1"/>
  <c r="D7" i="122"/>
  <c r="G6" i="122"/>
  <c r="G23" i="122"/>
  <c r="G24" i="122"/>
  <c r="G26" i="122"/>
  <c r="G37" i="122"/>
  <c r="G5" i="122"/>
  <c r="G68" i="122" l="1"/>
  <c r="C93" i="122"/>
  <c r="D71" i="122"/>
  <c r="D50" i="122"/>
  <c r="G71" i="122"/>
  <c r="G50" i="122"/>
  <c r="B71" i="122"/>
  <c r="B50" i="122"/>
  <c r="E71" i="122"/>
  <c r="E50" i="122"/>
  <c r="C7" i="135"/>
  <c r="G45" i="122"/>
  <c r="G35" i="122"/>
  <c r="G33" i="122"/>
  <c r="G34" i="122"/>
  <c r="G15" i="122"/>
  <c r="G14" i="122"/>
  <c r="B93" i="122"/>
  <c r="E93" i="122"/>
  <c r="G93" i="122"/>
  <c r="D93" i="122"/>
  <c r="G13" i="122"/>
  <c r="G16" i="122"/>
  <c r="G12" i="122"/>
  <c r="G38" i="122"/>
  <c r="C9" i="135"/>
  <c r="D35" i="135" s="1"/>
  <c r="C19" i="135"/>
  <c r="G27" i="122"/>
  <c r="G7" i="122"/>
  <c r="G30" i="122"/>
  <c r="C4" i="135" l="1"/>
  <c r="C11" i="135"/>
  <c r="D32" i="135" s="1"/>
  <c r="G46" i="122"/>
  <c r="C12" i="135" s="1"/>
  <c r="G43" i="122"/>
  <c r="D38" i="135"/>
  <c r="D29" i="135" l="1"/>
  <c r="D26" i="135"/>
  <c r="G42" i="122"/>
  <c r="C13" i="135" s="1"/>
  <c r="G48" i="122" l="1"/>
  <c r="C16" i="135" l="1"/>
  <c r="C39" i="135"/>
  <c r="C59" i="135" l="1"/>
  <c r="C75" i="135" s="1"/>
  <c r="C27" i="135"/>
  <c r="C30" i="135"/>
  <c r="C33" i="135"/>
  <c r="C36" i="135"/>
  <c r="C43" i="135" l="1"/>
  <c r="C51" i="135"/>
  <c r="C73" i="135" s="1"/>
  <c r="C47" i="135"/>
  <c r="C55" i="135"/>
  <c r="C74" i="135" s="1"/>
  <c r="C48" i="135" l="1"/>
  <c r="C52" i="135"/>
  <c r="C56" i="135"/>
  <c r="C60" i="135"/>
  <c r="C44" i="135"/>
  <c r="C72" i="135"/>
  <c r="C71" i="135"/>
  <c r="C93" i="135" l="1"/>
  <c r="D93" i="135" s="1"/>
  <c r="C21" i="135"/>
  <c r="C67" i="135" s="1"/>
  <c r="C66" i="135" l="1"/>
  <c r="C81" i="135" s="1"/>
  <c r="C82" i="135"/>
  <c r="C63" i="135"/>
  <c r="C78" i="135" s="1"/>
  <c r="C65" i="135"/>
  <c r="C80" i="135" s="1"/>
  <c r="C64" i="135"/>
  <c r="C79" i="135" s="1"/>
  <c r="C22" i="135"/>
  <c r="C92" i="135" l="1"/>
  <c r="D92" i="135" s="1"/>
  <c r="C23" i="135"/>
  <c r="C95" i="135" l="1"/>
  <c r="C96" i="135" s="1"/>
  <c r="D96" i="135" s="1"/>
  <c r="D95" i="135" l="1"/>
  <c r="C98" i="135"/>
  <c r="D98" i="135" s="1"/>
  <c r="C99" i="135" l="1"/>
  <c r="D99" i="135" s="1"/>
</calcChain>
</file>

<file path=xl/sharedStrings.xml><?xml version="1.0" encoding="utf-8"?>
<sst xmlns="http://schemas.openxmlformats.org/spreadsheetml/2006/main" count="451" uniqueCount="308">
  <si>
    <t xml:space="preserve">   </t>
  </si>
  <si>
    <t>Nederlands</t>
  </si>
  <si>
    <t>Français</t>
  </si>
  <si>
    <t>Stap / Étape 1</t>
  </si>
  <si>
    <t>Ga naar tabblad 'TAB 1'</t>
  </si>
  <si>
    <t>Allez à l’onglet 'TAB 1'</t>
  </si>
  <si>
    <t>Stap / Étape 2</t>
  </si>
  <si>
    <t>Verwijder de inhoud van de gele cellen (met delete)</t>
  </si>
  <si>
    <t>Supprimer le contenu des cellules jaunes (avec supprimer)</t>
  </si>
  <si>
    <t>Stap / Étape 3</t>
  </si>
  <si>
    <t>Kies de taal door een 'x' in cel E1 of E2 te zetten</t>
  </si>
  <si>
    <t>Choisissez la langue en mettant un 'x' dans la cellule E1 ou E2</t>
  </si>
  <si>
    <t>Stap / Étape 4</t>
  </si>
  <si>
    <t>Vul in de rest van de gele cellen de gewenste aantallen</t>
  </si>
  <si>
    <t>Dans le reste des cellules jaunes, remplissez les nombres souhaités</t>
  </si>
  <si>
    <t>Stap / Étape 5</t>
  </si>
  <si>
    <t>Ga naar tabblad 'TAB 2'</t>
  </si>
  <si>
    <t>Allez à l’onglet 'TAB 2'</t>
  </si>
  <si>
    <t>Stap / Étape 6</t>
  </si>
  <si>
    <t>Vul de blauwe cel in (0 of heel getal)</t>
  </si>
  <si>
    <t>Entrez la cellule bleue (0 ou nombre entier)</t>
  </si>
  <si>
    <t>Stap / Étape 7</t>
  </si>
  <si>
    <t>Vul de gele cellen in (0 of getal afgerond op 1 decimaal)</t>
  </si>
  <si>
    <t>Remplissez les cellules jaunes (0 ou nombre arrondi à 1 décimale)</t>
  </si>
  <si>
    <t>Stap / Étape 8</t>
  </si>
  <si>
    <t>Controleer de groene cellen en pas aan indien nodig</t>
  </si>
  <si>
    <t>Vérifiez les cellules vertes et ajustez si nécessaire</t>
  </si>
  <si>
    <t>Stap / Étape 9</t>
  </si>
  <si>
    <t>In de cellen C98 en C99 verschijnt de terugverdientijd</t>
  </si>
  <si>
    <t>Dans les cellules C98 et C99, la période de récupération apparaît</t>
  </si>
  <si>
    <t>Kies uw taal / Choisissez votre langue</t>
  </si>
  <si>
    <t>NEDERLANDS</t>
  </si>
  <si>
    <t>FRANÇAIS</t>
  </si>
  <si>
    <t>yr 1</t>
  </si>
  <si>
    <t>renewal</t>
  </si>
  <si>
    <t>Omschrijving</t>
  </si>
  <si>
    <t>Description</t>
  </si>
  <si>
    <t>8PD 015 265-841</t>
  </si>
  <si>
    <t>mega macs X</t>
  </si>
  <si>
    <t>8PD 015 265-951</t>
  </si>
  <si>
    <t>HGS tablet</t>
  </si>
  <si>
    <t>Tablette HGS</t>
  </si>
  <si>
    <t>8PZ 015 266-031</t>
  </si>
  <si>
    <t>Koffer mega macs X</t>
  </si>
  <si>
    <t>Valise mega macs X</t>
  </si>
  <si>
    <t>8PY 015 267-601</t>
  </si>
  <si>
    <t>Basissoftware mega macs X2</t>
  </si>
  <si>
    <t>Logiciel de base mega macs X2</t>
  </si>
  <si>
    <t>8PY 015 267-611</t>
  </si>
  <si>
    <t>Basissoftware mega macs X3</t>
  </si>
  <si>
    <t>Logiciel de base mega macs X3</t>
  </si>
  <si>
    <t>8PY 015 267-621</t>
  </si>
  <si>
    <t>Basissoftware mega macs X4</t>
  </si>
  <si>
    <t>Logiciel de base mega macs X4</t>
  </si>
  <si>
    <t>8PY 015 267-631</t>
  </si>
  <si>
    <t>Basissoftware mega macs X5</t>
  </si>
  <si>
    <t>Logiciel de base mega macs X5</t>
  </si>
  <si>
    <t>8PY 015 268-411</t>
  </si>
  <si>
    <t>Licentie mega macs X1</t>
  </si>
  <si>
    <t>Licence mega macs X1</t>
  </si>
  <si>
    <t>8PY 015 268-421</t>
  </si>
  <si>
    <t>Licentie mega macs X2</t>
  </si>
  <si>
    <t>Licence mega macs X2</t>
  </si>
  <si>
    <t>8PY 015 268-431</t>
  </si>
  <si>
    <t>Licentie mega macs X3</t>
  </si>
  <si>
    <t>Licence mega macs X3</t>
  </si>
  <si>
    <t>8PY 015 268-441</t>
  </si>
  <si>
    <t>Licentie mega macs X4</t>
  </si>
  <si>
    <t>Licence mega macs X4</t>
  </si>
  <si>
    <t>8PY 015 268-451</t>
  </si>
  <si>
    <t>Licentie mega macs X5</t>
  </si>
  <si>
    <t>Licence mega macs X5</t>
  </si>
  <si>
    <t>8PZ 015 266-001</t>
  </si>
  <si>
    <t>MT-USB scopemodule (alleen X3 en X4)</t>
  </si>
  <si>
    <t>Module à mesurer MT-USB</t>
  </si>
  <si>
    <t>8PZ 015 266-101</t>
  </si>
  <si>
    <t>Meetmodule MT-HV Basic (alleen X4 en X5, MT56 of MT77 vereist)</t>
  </si>
  <si>
    <t>Module à mesurer MT-HV Basic</t>
  </si>
  <si>
    <t>8PZ 015 265-721</t>
  </si>
  <si>
    <t>Meetmodule MT-HV Plus (alleen X4 en X5, MT56 of MT77 vereist)</t>
  </si>
  <si>
    <t>Module à mesurer MT-HV Plus</t>
  </si>
  <si>
    <t>8PZ 015 265-731</t>
  </si>
  <si>
    <t>Meetmodule MT-HV Pro (alleen X4 en X5)</t>
  </si>
  <si>
    <t>Module à mesurer MT-HV Pro</t>
  </si>
  <si>
    <t>8PZ 015 705-091</t>
  </si>
  <si>
    <t>RS macsRemote set 2</t>
  </si>
  <si>
    <t>8PA 007 732-311</t>
  </si>
  <si>
    <t>SEG IV DLLX koplampafstelapparaat</t>
  </si>
  <si>
    <t>Réglophare SEG IV DLLX</t>
  </si>
  <si>
    <t>8PA 007 732-321</t>
  </si>
  <si>
    <t>SEG IV SE koplampafstelapparaat</t>
  </si>
  <si>
    <t>Réglophare SEG IV SE</t>
  </si>
  <si>
    <t>8PA 007 732-401</t>
  </si>
  <si>
    <t>SEG V koplampafstelapparaat</t>
  </si>
  <si>
    <t>Réglophare SEG V</t>
  </si>
  <si>
    <t>o</t>
  </si>
  <si>
    <t>8PD 015 269-101</t>
  </si>
  <si>
    <t>CSC-tool SE (zonder kalibratiemeetkoppen)</t>
  </si>
  <si>
    <t>CSC-tool SE (sans tètes calibration), 
compatible avec HD 10 easy Touch</t>
  </si>
  <si>
    <t>8PZ 010 611-211</t>
  </si>
  <si>
    <t>Houder met meetlint CSC-tool</t>
  </si>
  <si>
    <t>Support mètre ruban</t>
  </si>
  <si>
    <t>8PZ 015 269-131</t>
  </si>
  <si>
    <t>CSC Tool kalibratiemeetkoppen</t>
  </si>
  <si>
    <t>Tètes calibration CSC-tool SE</t>
  </si>
  <si>
    <t>8PD 015 269-301</t>
  </si>
  <si>
    <t>CSC-tool SE wieluitlijnsysteem</t>
  </si>
  <si>
    <t>CSC-tool SE kit mesure de géométrie de train roulant</t>
  </si>
  <si>
    <t>8PZ 010 607-931</t>
  </si>
  <si>
    <t>Paneel VAG 1-01
(standaard bij 8PD 010 611-861)</t>
  </si>
  <si>
    <t>Tableau VAG 1-01
(ci-inclus avec 8PD 010 611-861)</t>
  </si>
  <si>
    <t>8PZ 010 624-001</t>
  </si>
  <si>
    <t>CSC-tool mobile (Camera &amp; Sensor Calibration Tool)</t>
  </si>
  <si>
    <t>8PZ 010 611-901</t>
  </si>
  <si>
    <t>Houder meetlat CSC tool</t>
  </si>
  <si>
    <t>Support barre de mesure CSC tool</t>
  </si>
  <si>
    <t>8PD 015 269-501</t>
  </si>
  <si>
    <t>CSC-tool digital (Camera &amp; Sensor Calibration Tool)</t>
  </si>
  <si>
    <t>tbd</t>
  </si>
  <si>
    <t>Opbouw en inbedrijfstelling CSC-tool digital</t>
  </si>
  <si>
    <t>Configuration et mise en service CSC-tool digital</t>
  </si>
  <si>
    <t>Kalibratiepanelen CSC-tool SE</t>
  </si>
  <si>
    <t>Tableaux calibration CSC-tool SE</t>
  </si>
  <si>
    <t>Kalibratiepanelen CSC-tool mobile</t>
  </si>
  <si>
    <t>Tableaux calibration CSC-tool mobile</t>
  </si>
  <si>
    <t>Kalibratiepanelen CSC-tool digital (jaarabonnement)</t>
  </si>
  <si>
    <t>Tableaux calibration CSC-tool digital (abonnement annuel)</t>
  </si>
  <si>
    <t>Kalibratiepanelen CSC-tool digital (eenmalige aanschaf)</t>
  </si>
  <si>
    <t>Tableaux calibration CSC-tool digital (achat unique)</t>
  </si>
  <si>
    <t>Accessoires CSC-Tool</t>
  </si>
  <si>
    <t>Verkoopprijs</t>
  </si>
  <si>
    <t>Omschrijving panelen CSC-tool SE</t>
  </si>
  <si>
    <t>Description tableaux CSC-tool SE</t>
  </si>
  <si>
    <t>8PD 010 601-901</t>
  </si>
  <si>
    <t>Paneel Mercedes 1-02</t>
  </si>
  <si>
    <t>Tableau Mercedes 1-02</t>
  </si>
  <si>
    <t>8PZ 010 607-951</t>
  </si>
  <si>
    <t>Paneel Renault 1-03</t>
  </si>
  <si>
    <t>Tableau Renault 1-03</t>
  </si>
  <si>
    <t>8PZ 010 607-961</t>
  </si>
  <si>
    <t>Paneel Nissan 1-04</t>
  </si>
  <si>
    <t>Tableau Nissan 1-04</t>
  </si>
  <si>
    <t>8PZ 010 607-971</t>
  </si>
  <si>
    <t>Paneel Kia/Hyundai 1-05</t>
  </si>
  <si>
    <t>Tableau Kia/Hyundai 1-05</t>
  </si>
  <si>
    <t>8PZ 010 607-981</t>
  </si>
  <si>
    <t>Paneel Honda 1-06</t>
  </si>
  <si>
    <t>Tableau Honda 1-06</t>
  </si>
  <si>
    <t>8PZ 010 607-991</t>
  </si>
  <si>
    <t>Paneel Mazda  1-07</t>
  </si>
  <si>
    <t>Tableau Mazda  1-07</t>
  </si>
  <si>
    <t>8PZ 010 611-181</t>
  </si>
  <si>
    <t>Paneel Toyota/Lexus  1-08</t>
  </si>
  <si>
    <t>Tableau Toyota/Lexus  1-08</t>
  </si>
  <si>
    <t>8PZ 010 611-451</t>
  </si>
  <si>
    <t>Paneel Honda 1-09</t>
  </si>
  <si>
    <t>Tableau Honda 1-09</t>
  </si>
  <si>
    <t>8PZ 010 611-461</t>
  </si>
  <si>
    <t>Paneel Subaru 1-10</t>
  </si>
  <si>
    <t>Tableau Subaru 1-10</t>
  </si>
  <si>
    <t>8PZ 010 611-471</t>
  </si>
  <si>
    <t>Paneel Toyota 1-11</t>
  </si>
  <si>
    <t>Tableau Toyota 1-11</t>
  </si>
  <si>
    <t>8PZ 010 611-631</t>
  </si>
  <si>
    <t>Paneel Mazda 1-12</t>
  </si>
  <si>
    <t>Tableau Mazda 1-12</t>
  </si>
  <si>
    <t>8PZ 010 611-641</t>
  </si>
  <si>
    <t>Paneel Toyota 1-13</t>
  </si>
  <si>
    <t>Tableau Toyota 1-13</t>
  </si>
  <si>
    <t>8PZ 010 611-651</t>
  </si>
  <si>
    <t>Paneel Toyota 1-14</t>
  </si>
  <si>
    <t>Tableau Toyota 1-14</t>
  </si>
  <si>
    <t>8PZ 010 611-831</t>
  </si>
  <si>
    <t>Paneel Honda 1-15</t>
  </si>
  <si>
    <t>Tableau Honda 1-15</t>
  </si>
  <si>
    <t>8PZ 010 611-841</t>
  </si>
  <si>
    <t>Paneel Fiat 1-16</t>
  </si>
  <si>
    <t>Tableau Fiat 1-16</t>
  </si>
  <si>
    <t>8PZ 010 611-881</t>
  </si>
  <si>
    <t>Paneel Mitsubishi 1-17</t>
  </si>
  <si>
    <t>Tableau Mitsubishi 1-17</t>
  </si>
  <si>
    <t>8PZ 010 611-911</t>
  </si>
  <si>
    <t>Paneel Suzuki 1-18</t>
  </si>
  <si>
    <t>Tableau Suzuki 1-18</t>
  </si>
  <si>
    <t>8PZ 010 611-921</t>
  </si>
  <si>
    <t>Paneel Suzuki 1-19</t>
  </si>
  <si>
    <t>Tableau Suzuki 1-19</t>
  </si>
  <si>
    <t>8PZ 010 611-931</t>
  </si>
  <si>
    <t>Paneel Hyundai 1-20</t>
  </si>
  <si>
    <t>Tableau Hyundai 1-20</t>
  </si>
  <si>
    <t>Omschrijving panelen CSC-tool mobile</t>
  </si>
  <si>
    <t>Description tableaux CSC-tool mobile</t>
  </si>
  <si>
    <t>8PZ 010 624-011</t>
  </si>
  <si>
    <t>Paneel VAG M-01</t>
  </si>
  <si>
    <t>Tableau VAG M-01</t>
  </si>
  <si>
    <t>8PZ 010 624-021</t>
  </si>
  <si>
    <t>Paneel Mercedes M-02</t>
  </si>
  <si>
    <t>Tableau Mercedes M-02</t>
  </si>
  <si>
    <t>8PZ 010 624-031</t>
  </si>
  <si>
    <t>Paneel Renault M-03</t>
  </si>
  <si>
    <t>Tableau Renault M-03</t>
  </si>
  <si>
    <t>8PZ 010 624-041</t>
  </si>
  <si>
    <t>Paneel Nissan M-04</t>
  </si>
  <si>
    <t>Tableau Nissan M-04</t>
  </si>
  <si>
    <t>8PZ 010 624-051</t>
  </si>
  <si>
    <t>Paneel Kia/Hyundai M-05</t>
  </si>
  <si>
    <t>Tableau Kia/Hyundai M-05</t>
  </si>
  <si>
    <t>8PZ 010 624-061</t>
  </si>
  <si>
    <t>Paneel Honda M-06</t>
  </si>
  <si>
    <t>Tableau Honda M-06</t>
  </si>
  <si>
    <t>8PZ 010 624-071</t>
  </si>
  <si>
    <t>Paneel Mazda M-07</t>
  </si>
  <si>
    <t>Tableau Mazda M-07</t>
  </si>
  <si>
    <t>8PZ 010 624-081</t>
  </si>
  <si>
    <t>Paneel Toyota/Lexus M-08</t>
  </si>
  <si>
    <t>Tableau Toyota/Lexus M-08</t>
  </si>
  <si>
    <t>8PZ 010 624-091</t>
  </si>
  <si>
    <t>Paneel Honda M-09</t>
  </si>
  <si>
    <t>Tableau Honda M-09</t>
  </si>
  <si>
    <t>8PZ 010 624-101</t>
  </si>
  <si>
    <t>Paneel Subaru M-10</t>
  </si>
  <si>
    <t>Tableau Subaru M-10</t>
  </si>
  <si>
    <t>8PZ 010 624-111</t>
  </si>
  <si>
    <t>Paneel Toyota M-11</t>
  </si>
  <si>
    <t>Tableau Toyota M-11</t>
  </si>
  <si>
    <t>8PZ 010 624-121</t>
  </si>
  <si>
    <t>Paneel Mazda M-12</t>
  </si>
  <si>
    <t>Tableau Mazda M-12</t>
  </si>
  <si>
    <t>8PZ 010 624-131</t>
  </si>
  <si>
    <t>Paneel Toyota M-13</t>
  </si>
  <si>
    <t>Tableau Toyota M-13</t>
  </si>
  <si>
    <t>8PZ 010 624-141</t>
  </si>
  <si>
    <t>Paneel Toyota M-14</t>
  </si>
  <si>
    <t>Tableau Toyota M-14</t>
  </si>
  <si>
    <t>8PZ 010 624-151</t>
  </si>
  <si>
    <t>Paneel Honda M-15</t>
  </si>
  <si>
    <t>Tableau Honda M-15</t>
  </si>
  <si>
    <t>8PZ 010 624-161</t>
  </si>
  <si>
    <t>Paneel Fiat M-16</t>
  </si>
  <si>
    <t>Tableau Fiat M-16</t>
  </si>
  <si>
    <t>8PZ 010 624-171</t>
  </si>
  <si>
    <t>Paneel Mitsubishi M-17</t>
  </si>
  <si>
    <t>Tableau Mitsubishi M-17</t>
  </si>
  <si>
    <t>8PZ 010 624-181</t>
  </si>
  <si>
    <t>Paneel Suzuki M-18</t>
  </si>
  <si>
    <t>Tableau Suzuki M-18</t>
  </si>
  <si>
    <t>8PZ 010 624-191</t>
  </si>
  <si>
    <t>Paneel Suzuki M-19</t>
  </si>
  <si>
    <t>Tableau Suzuki M-19</t>
  </si>
  <si>
    <t>8PZ 010 624-201</t>
  </si>
  <si>
    <t>Paneel Hyundai M-20</t>
  </si>
  <si>
    <t>Tableau Hyundai M-20</t>
  </si>
  <si>
    <t>Omschrijving accessoires CSC-tool</t>
  </si>
  <si>
    <t>Description accessoires CSC-tool</t>
  </si>
  <si>
    <t>8PZ 010 611-981</t>
  </si>
  <si>
    <t>CSC kit Radar I EVO</t>
  </si>
  <si>
    <t>8PZ 015 269-001</t>
  </si>
  <si>
    <t>Radarreflector CSC 4-06</t>
  </si>
  <si>
    <t>Reflecteur radar CSC 4-06</t>
  </si>
  <si>
    <t>8PZ 015 269-051</t>
  </si>
  <si>
    <t>CSC kit Radar III</t>
  </si>
  <si>
    <t>Kit CSC Radar III</t>
  </si>
  <si>
    <t>8PZ 015 269-061</t>
  </si>
  <si>
    <t>Radar reflector CSC 4-07</t>
  </si>
  <si>
    <t>Reflecteur radar CSC 4-07</t>
  </si>
  <si>
    <t>8PZ 010 624-961</t>
  </si>
  <si>
    <t>Paneel Audi 5-01</t>
  </si>
  <si>
    <t>Tableau Audi 5-01</t>
  </si>
  <si>
    <t>8PZ 010 611-321</t>
  </si>
  <si>
    <t>Magnetische laser EVO</t>
  </si>
  <si>
    <t>Laser magnetic EVO</t>
  </si>
  <si>
    <t>8PZ 010 624-971</t>
  </si>
  <si>
    <t>Montagebeugel EVO</t>
  </si>
  <si>
    <t>Accessoire EVO</t>
  </si>
  <si>
    <t>8PZ 010 611-251</t>
  </si>
  <si>
    <t>CSC kit Radar II</t>
  </si>
  <si>
    <t>8PZ 010 611-601</t>
  </si>
  <si>
    <t>CSC kit achtercamera I basis, profielen</t>
  </si>
  <si>
    <t>CSC kit camera arrière I base, profiles</t>
  </si>
  <si>
    <t>8PZ 010 611-691</t>
  </si>
  <si>
    <t>CSC kit achtercamera I basis, panelen VAG 2-01 + Mercedes 2-02</t>
  </si>
  <si>
    <t>CSC kit camera arrière I base, tableaux VAG 2-01 + Mercedes 2-02</t>
  </si>
  <si>
    <t>8PZ 010 611-611</t>
  </si>
  <si>
    <t>CSC kit achtercamera I aanvulling, profielen</t>
  </si>
  <si>
    <t>CSC kit camera arrière I complément, profiles</t>
  </si>
  <si>
    <t>8PZ 010 611-681</t>
  </si>
  <si>
    <t xml:space="preserve">CSC kit achtercamera I aanvulling, panelen VAG 3-01 (2x) </t>
  </si>
  <si>
    <t>CSC kit camera arrière I complément, tableaux (2x) VAG 3-01</t>
  </si>
  <si>
    <t>8PZ 010 611-971</t>
  </si>
  <si>
    <t>Panelenset Nissan 2-03, 2-04 en 2-05</t>
  </si>
  <si>
    <t>Set tableaux Nissan 2-03, 2-04 en 2-05</t>
  </si>
  <si>
    <t>8PZ 010 611-621</t>
  </si>
  <si>
    <t>CSC kit achtercamera II zijkant VAG 3-02</t>
  </si>
  <si>
    <t>CSC kit camera arrière II, côté VAG 3-02</t>
  </si>
  <si>
    <t>8PZ 010 624-931</t>
  </si>
  <si>
    <t>Paneelmat Mazda 3-03</t>
  </si>
  <si>
    <t>Tableau Mazda 3-03</t>
  </si>
  <si>
    <t>8PZ 010 624-881</t>
  </si>
  <si>
    <t>CSC kit achtercamera II zijkant Opel</t>
  </si>
  <si>
    <t>CSC kit camera arrière II, côté Opel</t>
  </si>
  <si>
    <t>a</t>
  </si>
  <si>
    <t>m</t>
  </si>
  <si>
    <t>MT-HV</t>
  </si>
  <si>
    <t>SEG</t>
  </si>
  <si>
    <t>c</t>
  </si>
  <si>
    <t>csm</t>
  </si>
  <si>
    <t>cd</t>
  </si>
  <si>
    <t>macsRemote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</si>
</sst>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8" formatCode="&quot;$&quot;#,##0.00_);[Red]\(&quot;$&quot;#,##0.00\)"/>
    <numFmt numFmtId="164" formatCode="_ &quot;€&quot;\ * #,##0.00_ ;_ &quot;€&quot;\ * \-#,##0.00_ ;_ &quot;€&quot;\ * &quot;-&quot;??_ ;_ @_ "/>
    <numFmt numFmtId="165" formatCode="_-* #,##0.00_-;_-* #,##0.00\-;_-* &quot;-&quot;??_-;_-@_-"/>
    <numFmt numFmtId="166" formatCode="_-* #,##0.00\ [$€]_-;\-* #,##0.00\ [$€]_-;_-* &quot;-&quot;??\ [$€]_-;_-@_-"/>
    <numFmt numFmtId="167" formatCode="0.0"/>
    <numFmt numFmtId="168" formatCode="_-* #,##0.00\ _D_M_-;\-* #,##0.00\ _D_M_-;_-* &quot;-&quot;??\ _D_M_-;_-@_-"/>
    <numFmt numFmtId="169" formatCode="_(&quot;$&quot;* #,##0.00_);[Red]&quot;$&quot;* \(#,##0.00\);_(&quot;$&quot;* &quot;-&quot;??_);_(@_)"/>
    <numFmt numFmtId="170" formatCode="_(* #,##0\ &quot;Pta&quot;_);_(* \(#,##0\)\ &quot;Pta&quot;;_(&quot;Pta&quot;* &quot;-&quot;??_);_(@_)"/>
    <numFmt numFmtId="171" formatCode="0.00_)"/>
    <numFmt numFmtId="172" formatCode="#,##0.0%_);[Red]\(#,##0.0%\)"/>
    <numFmt numFmtId="173" formatCode="_-* #,##0.00\ [$€-40C]_-;\-* #,##0.00\ [$€-40C]_-;_-* &quot;-&quot;??\ [$€-40C]_-;_-@_-"/>
    <numFmt numFmtId="174" formatCode="_-* #,##0.00\ &quot;€&quot;_-;\-* #,##0.00\ &quot;€&quot;_-;_-* &quot;-&quot;??\ &quot;€&quot;_-;_-@_-"/>
    <numFmt numFmtId="175" formatCode="0.0%"/>
    <numFmt numFmtId="176" formatCode="&quot;€&quot;\ #,##0.00"/>
    <numFmt numFmtId="177" formatCode="_([$€-2]\ * #,##0.00_);_([$€-2]\ * \(#,##0.00\);_([$€-2]\ * &quot;-&quot;??_);_(@_)"/>
  </numFmts>
  <fonts count="6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i/>
      <sz val="11"/>
      <color indexed="23"/>
      <name val="Calibri"/>
      <family val="2"/>
    </font>
    <font>
      <sz val="11"/>
      <color indexed="17"/>
      <name val="Calibri"/>
      <family val="2"/>
    </font>
    <font>
      <u/>
      <sz val="10"/>
      <color indexed="12"/>
      <name val="Arial"/>
      <family val="2"/>
    </font>
    <font>
      <sz val="11"/>
      <color indexed="62"/>
      <name val="Calibri"/>
      <family val="2"/>
    </font>
    <font>
      <b/>
      <sz val="11"/>
      <color indexed="9"/>
      <name val="Calibri"/>
      <family val="2"/>
    </font>
    <font>
      <sz val="11"/>
      <color indexed="60"/>
      <name val="Calibri"/>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8"/>
      <name val="Calibri"/>
      <family val="2"/>
    </font>
    <font>
      <sz val="11"/>
      <color indexed="20"/>
      <name val="Calibri"/>
      <family val="2"/>
    </font>
    <font>
      <sz val="8"/>
      <name val="Arial"/>
      <family val="2"/>
    </font>
    <font>
      <b/>
      <sz val="10"/>
      <name val="Arial"/>
      <family val="2"/>
    </font>
    <font>
      <b/>
      <sz val="12"/>
      <name val="Arial"/>
      <family val="2"/>
    </font>
    <font>
      <sz val="10"/>
      <name val="Arial"/>
      <family val="2"/>
    </font>
    <font>
      <sz val="10"/>
      <color indexed="8"/>
      <name val="Arial"/>
      <family val="2"/>
    </font>
    <font>
      <sz val="12"/>
      <name val="Times New Roman"/>
      <family val="1"/>
    </font>
    <font>
      <sz val="10"/>
      <name val="Arial"/>
      <family val="2"/>
    </font>
    <font>
      <sz val="10"/>
      <name val="Geneva"/>
    </font>
    <font>
      <sz val="10"/>
      <name val="Helv"/>
      <family val="2"/>
    </font>
    <font>
      <b/>
      <sz val="12"/>
      <name val="Helv"/>
    </font>
    <font>
      <sz val="12"/>
      <name val="Helv"/>
    </font>
    <font>
      <b/>
      <sz val="14"/>
      <name val="Helv"/>
    </font>
    <font>
      <sz val="10"/>
      <name val="Arial CE"/>
      <charset val="238"/>
    </font>
    <font>
      <b/>
      <sz val="11"/>
      <name val="Helv"/>
    </font>
    <font>
      <sz val="7"/>
      <name val="Small Fonts"/>
      <family val="2"/>
    </font>
    <font>
      <b/>
      <i/>
      <sz val="16"/>
      <name val="Helv"/>
    </font>
    <font>
      <sz val="24"/>
      <color indexed="13"/>
      <name val="Helv"/>
    </font>
    <font>
      <sz val="10"/>
      <name val="MS Sans Serif"/>
      <family val="2"/>
    </font>
    <font>
      <sz val="10"/>
      <name val="Arial"/>
      <family val="2"/>
    </font>
    <font>
      <sz val="10"/>
      <name val="Arial"/>
      <family val="2"/>
    </font>
    <font>
      <sz val="10"/>
      <name val="Arial"/>
      <family val="2"/>
    </font>
    <font>
      <u/>
      <sz val="10"/>
      <color theme="10"/>
      <name val="Arial"/>
      <family val="2"/>
    </font>
    <font>
      <sz val="11"/>
      <color theme="1"/>
      <name val="Calibri"/>
      <family val="2"/>
      <scheme val="minor"/>
    </font>
    <font>
      <sz val="10"/>
      <name val="Arial"/>
      <family val="2"/>
    </font>
    <font>
      <sz val="10"/>
      <color theme="0"/>
      <name val="Arial"/>
      <family val="2"/>
    </font>
    <font>
      <sz val="10"/>
      <name val="Arial"/>
      <family val="2"/>
    </font>
    <font>
      <sz val="8"/>
      <name val="Arial"/>
    </font>
    <font>
      <i/>
      <sz val="10"/>
      <color rgb="FFFF0000"/>
      <name val="Arial"/>
      <family val="2"/>
    </font>
    <font>
      <b/>
      <sz val="10"/>
      <color theme="0"/>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43"/>
      </patternFill>
    </fill>
    <fill>
      <patternFill patternType="solid">
        <fgColor indexed="12"/>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99FF66"/>
        <bgColor indexed="64"/>
      </patternFill>
    </fill>
    <fill>
      <patternFill patternType="solid">
        <fgColor rgb="FF00FFFF"/>
        <bgColor indexed="64"/>
      </patternFill>
    </fill>
    <fill>
      <patternFill patternType="solid">
        <fgColor rgb="FF00FF00"/>
        <bgColor indexed="64"/>
      </patternFill>
    </fill>
  </fills>
  <borders count="24">
    <border>
      <left/>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8"/>
      </left>
      <right style="thin">
        <color indexed="8"/>
      </right>
      <top style="double">
        <color indexed="8"/>
      </top>
      <bottom style="thin">
        <color indexed="8"/>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right style="thin">
        <color indexed="64"/>
      </right>
      <top style="thin">
        <color indexed="64"/>
      </top>
      <bottom style="thin">
        <color indexed="64"/>
      </bottom>
      <diagonal/>
    </border>
  </borders>
  <cellStyleXfs count="560">
    <xf numFmtId="0" fontId="0" fillId="0" borderId="0"/>
    <xf numFmtId="5" fontId="40" fillId="0" borderId="0" applyFont="0" applyFill="0" applyBorder="0" applyAlignment="0" applyProtection="0"/>
    <xf numFmtId="8" fontId="40" fillId="0" borderId="0" applyFont="0" applyFill="0" applyBorder="0" applyAlignment="0" applyProtection="0"/>
    <xf numFmtId="9" fontId="40" fillId="0" borderId="0" applyFont="0" applyFill="0" applyBorder="0" applyAlignment="0" applyProtection="0"/>
    <xf numFmtId="10" fontId="40" fillId="0" borderId="0" applyFont="0" applyFill="0" applyBorder="0" applyAlignment="0" applyProtection="0"/>
    <xf numFmtId="0" fontId="41" fillId="0" borderId="0"/>
    <xf numFmtId="0" fontId="36"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167" fontId="34" fillId="0" borderId="1">
      <alignment horizontal="center"/>
    </xf>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7"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25" fillId="20" borderId="2" applyNumberFormat="0" applyAlignment="0" applyProtection="0"/>
    <xf numFmtId="0" fontId="14"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9"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51"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40" fillId="0" borderId="5" applyNumberFormat="0" applyFont="0" applyFill="0" applyAlignment="0" applyProtection="0"/>
    <xf numFmtId="0" fontId="40" fillId="0" borderId="6" applyNumberFormat="0" applyFont="0" applyFill="0" applyAlignment="0" applyProtection="0"/>
    <xf numFmtId="0" fontId="40" fillId="0" borderId="7" applyNumberFormat="0" applyFont="0" applyFill="0" applyAlignment="0" applyProtection="0"/>
    <xf numFmtId="0" fontId="40" fillId="0" borderId="8" applyNumberFormat="0" applyFont="0" applyFill="0" applyAlignment="0" applyProtection="0"/>
    <xf numFmtId="0" fontId="18" fillId="20" borderId="4" applyNumberFormat="0" applyAlignment="0" applyProtection="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3" fillId="22" borderId="9" applyNumberFormat="0" applyAlignment="0" applyProtection="0"/>
    <xf numFmtId="0" fontId="23" fillId="22" borderId="9" applyNumberFormat="0" applyAlignment="0" applyProtection="0"/>
    <xf numFmtId="0" fontId="23" fillId="22" borderId="9" applyNumberFormat="0" applyAlignment="0" applyProtection="0"/>
    <xf numFmtId="169" fontId="33" fillId="0" borderId="0">
      <alignment horizontal="right"/>
    </xf>
    <xf numFmtId="0" fontId="43" fillId="0" borderId="0"/>
    <xf numFmtId="0" fontId="43" fillId="0" borderId="10"/>
    <xf numFmtId="168" fontId="36" fillId="0" borderId="0" applyFont="0" applyFill="0" applyBorder="0" applyAlignment="0" applyProtection="0"/>
    <xf numFmtId="0" fontId="22" fillId="7" borderId="4" applyNumberFormat="0" applyAlignment="0" applyProtection="0"/>
    <xf numFmtId="0" fontId="31" fillId="0" borderId="11" applyNumberFormat="0" applyFill="0" applyAlignment="0" applyProtection="0"/>
    <xf numFmtId="0" fontId="19" fillId="0" borderId="0" applyNumberFormat="0" applyFill="0" applyBorder="0" applyAlignment="0" applyProtection="0"/>
    <xf numFmtId="166" fontId="14"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9"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51"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0" fontId="19" fillId="0" borderId="0" applyNumberFormat="0" applyFill="0" applyBorder="0" applyAlignment="0" applyProtection="0"/>
    <xf numFmtId="0" fontId="29" fillId="0" borderId="12" applyNumberFormat="0" applyFill="0" applyAlignment="0" applyProtection="0"/>
    <xf numFmtId="0" fontId="29" fillId="0" borderId="12" applyNumberFormat="0" applyFill="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38" fontId="33" fillId="23" borderId="0" applyNumberFormat="0" applyBorder="0" applyAlignment="0" applyProtection="0"/>
    <xf numFmtId="0" fontId="20" fillId="4" borderId="0" applyNumberFormat="0" applyBorder="0" applyAlignment="0" applyProtection="0"/>
    <xf numFmtId="0" fontId="42" fillId="0" borderId="0">
      <alignment horizontal="left"/>
    </xf>
    <xf numFmtId="0" fontId="35" fillId="0" borderId="13" applyNumberFormat="0" applyAlignment="0" applyProtection="0">
      <alignment horizontal="left" vertical="center"/>
    </xf>
    <xf numFmtId="0" fontId="35" fillId="0" borderId="14">
      <alignment horizontal="left" vertical="center"/>
    </xf>
    <xf numFmtId="0" fontId="21" fillId="0" borderId="0" applyNumberFormat="0" applyFill="0" applyBorder="0" applyAlignment="0" applyProtection="0">
      <alignment vertical="top"/>
      <protection locked="0"/>
    </xf>
    <xf numFmtId="0" fontId="54" fillId="0" borderId="0" applyNumberFormat="0" applyFill="0" applyBorder="0" applyAlignment="0" applyProtection="0"/>
    <xf numFmtId="10" fontId="33" fillId="24" borderId="18" applyNumberFormat="0" applyBorder="0" applyAlignment="0" applyProtection="0"/>
    <xf numFmtId="0" fontId="22" fillId="7" borderId="4" applyNumberFormat="0" applyAlignment="0" applyProtection="0"/>
    <xf numFmtId="0" fontId="22" fillId="7" borderId="4" applyNumberFormat="0" applyAlignment="0" applyProtection="0"/>
    <xf numFmtId="0" fontId="22" fillId="7" borderId="4" applyNumberFormat="0" applyAlignment="0" applyProtection="0"/>
    <xf numFmtId="165" fontId="36" fillId="0" borderId="0" applyFont="0" applyFill="0" applyBorder="0" applyAlignment="0" applyProtection="0"/>
    <xf numFmtId="0" fontId="23" fillId="22" borderId="9" applyNumberFormat="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4" fillId="25" borderId="10"/>
    <xf numFmtId="0" fontId="29" fillId="0" borderId="1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170" fontId="45" fillId="0" borderId="0" applyFont="0" applyFill="0" applyBorder="0" applyAlignment="0" applyProtection="0"/>
    <xf numFmtId="14" fontId="40" fillId="0" borderId="0" applyFont="0" applyFill="0" applyBorder="0" applyAlignment="0" applyProtection="0"/>
    <xf numFmtId="0" fontId="46" fillId="0" borderId="19"/>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37" fontId="47" fillId="0" borderId="0"/>
    <xf numFmtId="171" fontId="48" fillId="0" borderId="0"/>
    <xf numFmtId="0" fontId="36" fillId="0" borderId="0"/>
    <xf numFmtId="0" fontId="45" fillId="0" borderId="0"/>
    <xf numFmtId="0" fontId="36" fillId="21" borderId="3" applyNumberFormat="0" applyFont="0" applyAlignment="0" applyProtection="0"/>
    <xf numFmtId="0" fontId="15" fillId="21" borderId="3" applyNumberFormat="0" applyFont="0" applyAlignment="0" applyProtection="0"/>
    <xf numFmtId="0" fontId="15"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6" fillId="21" borderId="3" applyNumberFormat="0" applyFont="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26" fillId="0" borderId="15" applyNumberFormat="0" applyFill="0" applyAlignment="0" applyProtection="0"/>
    <xf numFmtId="0" fontId="27" fillId="0" borderId="16" applyNumberFormat="0" applyFill="0" applyAlignment="0" applyProtection="0"/>
    <xf numFmtId="0" fontId="28" fillId="0" borderId="17" applyNumberFormat="0" applyFill="0" applyAlignment="0" applyProtection="0"/>
    <xf numFmtId="0" fontId="28" fillId="0" borderId="0" applyNumberFormat="0" applyFill="0" applyBorder="0" applyAlignment="0" applyProtection="0"/>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72" fontId="36" fillId="0" borderId="0" applyFill="0" applyBorder="0" applyProtection="0">
      <alignment horizontal="right"/>
    </xf>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55" fillId="0" borderId="0" applyFont="0" applyFill="0" applyBorder="0" applyAlignment="0" applyProtection="0"/>
    <xf numFmtId="9" fontId="36" fillId="0" borderId="0" applyFont="0" applyFill="0" applyBorder="0" applyAlignment="0" applyProtection="0"/>
    <xf numFmtId="9" fontId="39" fillId="0" borderId="0" applyFont="0" applyFill="0" applyBorder="0" applyAlignment="0" applyProtection="0"/>
    <xf numFmtId="9" fontId="36" fillId="0" borderId="0" applyFont="0" applyFill="0" applyBorder="0" applyAlignment="0" applyProtection="0"/>
    <xf numFmtId="9" fontId="52" fillId="0" borderId="0" applyFont="0" applyFill="0" applyBorder="0" applyAlignment="0" applyProtection="0"/>
    <xf numFmtId="9" fontId="53" fillId="0" borderId="0" applyFont="0" applyFill="0" applyBorder="0" applyAlignment="0" applyProtection="0"/>
    <xf numFmtId="9" fontId="36" fillId="0" borderId="0" applyFont="0" applyFill="0" applyBorder="0" applyAlignment="0" applyProtection="0"/>
    <xf numFmtId="0" fontId="43" fillId="0" borderId="0"/>
    <xf numFmtId="0" fontId="29" fillId="0" borderId="12" applyNumberFormat="0" applyFill="0" applyAlignment="0" applyProtection="0"/>
    <xf numFmtId="0" fontId="32" fillId="3" borderId="0" applyNumberFormat="0" applyBorder="0" applyAlignment="0" applyProtection="0"/>
    <xf numFmtId="0" fontId="55" fillId="0" borderId="0"/>
    <xf numFmtId="0" fontId="36" fillId="0" borderId="0"/>
    <xf numFmtId="0" fontId="55" fillId="0" borderId="0"/>
    <xf numFmtId="0" fontId="50" fillId="0" borderId="0"/>
    <xf numFmtId="0" fontId="36" fillId="0" borderId="0"/>
    <xf numFmtId="0" fontId="36" fillId="0" borderId="0"/>
    <xf numFmtId="0" fontId="36" fillId="0" borderId="0"/>
    <xf numFmtId="0" fontId="55" fillId="0" borderId="0"/>
    <xf numFmtId="0" fontId="36" fillId="0" borderId="0"/>
    <xf numFmtId="0" fontId="36" fillId="0" borderId="0"/>
    <xf numFmtId="0" fontId="55" fillId="0" borderId="0"/>
    <xf numFmtId="0" fontId="36" fillId="0" borderId="0"/>
    <xf numFmtId="0" fontId="36" fillId="0" borderId="0"/>
    <xf numFmtId="0" fontId="55" fillId="0" borderId="0"/>
    <xf numFmtId="0" fontId="55" fillId="0" borderId="0"/>
    <xf numFmtId="0" fontId="36" fillId="0" borderId="0"/>
    <xf numFmtId="0" fontId="36" fillId="0" borderId="0"/>
    <xf numFmtId="0" fontId="36" fillId="0" borderId="0"/>
    <xf numFmtId="0" fontId="36" fillId="0" borderId="0"/>
    <xf numFmtId="0" fontId="36" fillId="0" borderId="0"/>
    <xf numFmtId="0" fontId="36" fillId="0" borderId="0"/>
    <xf numFmtId="173" fontId="36" fillId="0" borderId="0"/>
    <xf numFmtId="0" fontId="36" fillId="0" borderId="0"/>
    <xf numFmtId="0" fontId="36" fillId="0" borderId="0"/>
    <xf numFmtId="0" fontId="36" fillId="0" borderId="0"/>
    <xf numFmtId="0" fontId="36" fillId="0" borderId="0"/>
    <xf numFmtId="0" fontId="55" fillId="0" borderId="0"/>
    <xf numFmtId="0" fontId="55" fillId="0" borderId="0"/>
    <xf numFmtId="0" fontId="37"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9" fillId="0" borderId="0"/>
    <xf numFmtId="0" fontId="36" fillId="0" borderId="0"/>
    <xf numFmtId="0" fontId="36" fillId="0" borderId="0"/>
    <xf numFmtId="0" fontId="5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8" fillId="0" borderId="0"/>
    <xf numFmtId="0" fontId="46" fillId="0" borderId="0"/>
    <xf numFmtId="0" fontId="43" fillId="0" borderId="10"/>
    <xf numFmtId="0" fontId="40" fillId="0" borderId="0" applyNumberFormat="0" applyFont="0" applyFill="0" applyBorder="0" applyProtection="0">
      <alignment horizontal="left" vertical="top" wrapText="1"/>
    </xf>
    <xf numFmtId="0" fontId="30" fillId="0" borderId="0" applyNumberFormat="0" applyFill="0" applyBorder="0" applyAlignment="0" applyProtection="0"/>
    <xf numFmtId="0" fontId="30" fillId="0" borderId="0" applyNumberFormat="0" applyFill="0" applyBorder="0" applyAlignment="0" applyProtection="0"/>
    <xf numFmtId="0" fontId="49" fillId="27" borderId="0"/>
    <xf numFmtId="0" fontId="31" fillId="0" borderId="11"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44" fillId="0" borderId="20"/>
    <xf numFmtId="0" fontId="44" fillId="0" borderId="10"/>
    <xf numFmtId="0" fontId="30" fillId="0" borderId="0" applyNumberFormat="0" applyFill="0" applyBorder="0" applyAlignment="0" applyProtection="0"/>
    <xf numFmtId="0" fontId="26" fillId="0" borderId="15" applyNumberFormat="0" applyFill="0" applyAlignment="0" applyProtection="0"/>
    <xf numFmtId="0" fontId="27" fillId="0" borderId="16" applyNumberFormat="0" applyFill="0" applyAlignment="0" applyProtection="0"/>
    <xf numFmtId="0" fontId="28" fillId="0" borderId="17" applyNumberFormat="0" applyFill="0" applyAlignment="0" applyProtection="0"/>
    <xf numFmtId="0" fontId="28" fillId="0" borderId="0" applyNumberFormat="0" applyFill="0" applyBorder="0" applyAlignment="0" applyProtection="0"/>
    <xf numFmtId="0" fontId="32" fillId="3" borderId="0" applyNumberFormat="0" applyBorder="0" applyAlignment="0" applyProtection="0"/>
    <xf numFmtId="0" fontId="25" fillId="20" borderId="2" applyNumberFormat="0" applyAlignment="0" applyProtection="0"/>
    <xf numFmtId="0" fontId="25" fillId="20" borderId="2" applyNumberFormat="0" applyAlignment="0" applyProtection="0"/>
    <xf numFmtId="0" fontId="25" fillId="20" borderId="2"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9" fillId="0" borderId="12"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174" fontId="36"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3" fillId="22" borderId="9" applyNumberFormat="0" applyAlignment="0" applyProtection="0"/>
    <xf numFmtId="0" fontId="14" fillId="0" borderId="0"/>
    <xf numFmtId="0" fontId="14" fillId="0" borderId="0"/>
    <xf numFmtId="0" fontId="14" fillId="0" borderId="0"/>
    <xf numFmtId="0" fontId="13" fillId="0" borderId="0"/>
    <xf numFmtId="9" fontId="14" fillId="0" borderId="0" applyFont="0" applyFill="0" applyBorder="0" applyAlignment="0" applyProtection="0"/>
    <xf numFmtId="9" fontId="14" fillId="0" borderId="0" applyFont="0" applyFill="0" applyBorder="0" applyAlignment="0" applyProtection="0"/>
    <xf numFmtId="0" fontId="12" fillId="0" borderId="0"/>
    <xf numFmtId="9" fontId="56" fillId="0" borderId="0" applyFont="0" applyFill="0" applyBorder="0" applyAlignment="0" applyProtection="0"/>
    <xf numFmtId="0" fontId="11" fillId="0" borderId="0"/>
    <xf numFmtId="9" fontId="56" fillId="0" borderId="0" applyFont="0" applyFill="0" applyBorder="0" applyAlignment="0" applyProtection="0"/>
    <xf numFmtId="0" fontId="10" fillId="0" borderId="0"/>
    <xf numFmtId="173" fontId="14" fillId="0" borderId="0"/>
    <xf numFmtId="0" fontId="14" fillId="0" borderId="0"/>
    <xf numFmtId="0" fontId="10" fillId="0" borderId="0"/>
    <xf numFmtId="174" fontId="14" fillId="0" borderId="0" applyFont="0" applyFill="0" applyBorder="0" applyAlignment="0" applyProtection="0"/>
    <xf numFmtId="9" fontId="10" fillId="0" borderId="0" applyFont="0" applyFill="0" applyBorder="0" applyAlignment="0" applyProtection="0"/>
    <xf numFmtId="0" fontId="9" fillId="0" borderId="0"/>
    <xf numFmtId="0" fontId="8" fillId="0" borderId="0"/>
    <xf numFmtId="9" fontId="58"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164" fontId="5" fillId="0" borderId="0" applyFont="0" applyFill="0" applyBorder="0" applyAlignment="0" applyProtection="0"/>
    <xf numFmtId="0" fontId="4" fillId="0" borderId="0"/>
    <xf numFmtId="164" fontId="4" fillId="0" borderId="0" applyFont="0" applyFill="0" applyBorder="0" applyAlignment="0" applyProtection="0"/>
    <xf numFmtId="0" fontId="3" fillId="0" borderId="0"/>
    <xf numFmtId="0" fontId="2" fillId="0" borderId="0"/>
    <xf numFmtId="164" fontId="2" fillId="0" borderId="0" applyFont="0" applyFill="0" applyBorder="0" applyAlignment="0" applyProtection="0"/>
    <xf numFmtId="0" fontId="1" fillId="0" borderId="0"/>
    <xf numFmtId="9" fontId="1" fillId="0" borderId="0" applyFont="0" applyFill="0" applyBorder="0" applyAlignment="0" applyProtection="0"/>
  </cellStyleXfs>
  <cellXfs count="75">
    <xf numFmtId="0" fontId="0" fillId="0" borderId="0" xfId="0"/>
    <xf numFmtId="1" fontId="14" fillId="29" borderId="23" xfId="0" applyNumberFormat="1" applyFont="1" applyFill="1" applyBorder="1" applyAlignment="1" applyProtection="1">
      <alignment horizontal="left" vertical="center" indent="1"/>
      <protection hidden="1"/>
    </xf>
    <xf numFmtId="4" fontId="34" fillId="0" borderId="6" xfId="0" applyNumberFormat="1" applyFont="1" applyBorder="1" applyAlignment="1" applyProtection="1">
      <alignment horizontal="left" vertical="center" indent="1"/>
      <protection hidden="1"/>
    </xf>
    <xf numFmtId="1" fontId="14" fillId="30" borderId="18" xfId="0" applyNumberFormat="1" applyFont="1" applyFill="1" applyBorder="1" applyAlignment="1" applyProtection="1">
      <alignment horizontal="left" vertical="center" indent="1"/>
      <protection hidden="1"/>
    </xf>
    <xf numFmtId="1" fontId="14" fillId="31" borderId="18" xfId="0" applyNumberFormat="1" applyFont="1" applyFill="1" applyBorder="1" applyAlignment="1" applyProtection="1">
      <alignment horizontal="left" vertical="center" indent="1"/>
      <protection hidden="1"/>
    </xf>
    <xf numFmtId="1" fontId="34" fillId="31" borderId="18" xfId="0" applyNumberFormat="1" applyFont="1" applyFill="1" applyBorder="1" applyAlignment="1" applyProtection="1">
      <alignment horizontal="left" vertical="center" indent="1"/>
      <protection hidden="1"/>
    </xf>
    <xf numFmtId="1" fontId="34" fillId="32" borderId="23" xfId="0" applyNumberFormat="1" applyFont="1" applyFill="1" applyBorder="1" applyAlignment="1" applyProtection="1">
      <alignment horizontal="left" vertical="center" indent="1"/>
      <protection hidden="1"/>
    </xf>
    <xf numFmtId="1" fontId="34" fillId="32" borderId="21" xfId="0" applyNumberFormat="1" applyFont="1" applyFill="1" applyBorder="1" applyAlignment="1" applyProtection="1">
      <alignment horizontal="left" vertical="center" indent="1"/>
      <protection hidden="1"/>
    </xf>
    <xf numFmtId="1" fontId="14" fillId="32" borderId="18" xfId="0" applyNumberFormat="1" applyFont="1" applyFill="1" applyBorder="1" applyAlignment="1" applyProtection="1">
      <alignment horizontal="left" vertical="center" indent="1"/>
      <protection hidden="1"/>
    </xf>
    <xf numFmtId="1" fontId="34" fillId="30" borderId="23" xfId="0" applyNumberFormat="1" applyFont="1" applyFill="1" applyBorder="1" applyAlignment="1" applyProtection="1">
      <alignment horizontal="left" vertical="center" indent="1"/>
      <protection hidden="1"/>
    </xf>
    <xf numFmtId="1" fontId="34" fillId="30" borderId="21" xfId="0" applyNumberFormat="1" applyFont="1" applyFill="1" applyBorder="1" applyAlignment="1" applyProtection="1">
      <alignment horizontal="left" vertical="center" indent="1"/>
      <protection hidden="1"/>
    </xf>
    <xf numFmtId="1" fontId="34" fillId="29" borderId="21" xfId="0" applyNumberFormat="1" applyFont="1" applyFill="1" applyBorder="1" applyAlignment="1" applyProtection="1">
      <alignment horizontal="left" vertical="center" indent="1"/>
      <protection hidden="1"/>
    </xf>
    <xf numFmtId="1" fontId="14" fillId="29" borderId="21" xfId="0" applyNumberFormat="1" applyFont="1" applyFill="1" applyBorder="1" applyAlignment="1" applyProtection="1">
      <alignment horizontal="left" vertical="center" indent="1"/>
      <protection hidden="1"/>
    </xf>
    <xf numFmtId="1" fontId="34" fillId="29" borderId="23" xfId="0" applyNumberFormat="1" applyFont="1" applyFill="1" applyBorder="1" applyAlignment="1" applyProtection="1">
      <alignment horizontal="left" vertical="center" indent="1"/>
      <protection hidden="1"/>
    </xf>
    <xf numFmtId="1" fontId="14" fillId="29" borderId="18" xfId="0" applyNumberFormat="1" applyFont="1" applyFill="1" applyBorder="1" applyAlignment="1" applyProtection="1">
      <alignment horizontal="left" vertical="center" indent="1"/>
      <protection hidden="1"/>
    </xf>
    <xf numFmtId="0" fontId="14" fillId="33" borderId="18" xfId="0" applyFont="1" applyFill="1" applyBorder="1" applyAlignment="1" applyProtection="1">
      <alignment horizontal="center" vertical="center"/>
      <protection locked="0"/>
    </xf>
    <xf numFmtId="1" fontId="14" fillId="0" borderId="0" xfId="0" applyNumberFormat="1" applyFont="1" applyAlignment="1" applyProtection="1">
      <alignment horizontal="left" vertical="center" indent="1"/>
      <protection hidden="1"/>
    </xf>
    <xf numFmtId="1" fontId="34" fillId="0" borderId="0" xfId="0" applyNumberFormat="1" applyFont="1" applyAlignment="1" applyProtection="1">
      <alignment horizontal="left" vertical="center" indent="1"/>
      <protection hidden="1"/>
    </xf>
    <xf numFmtId="1" fontId="34" fillId="0" borderId="18" xfId="0" applyNumberFormat="1" applyFont="1" applyBorder="1" applyAlignment="1" applyProtection="1">
      <alignment horizontal="left" vertical="center" indent="1"/>
      <protection hidden="1"/>
    </xf>
    <xf numFmtId="1" fontId="57" fillId="0" borderId="0" xfId="0" applyNumberFormat="1" applyFont="1" applyAlignment="1" applyProtection="1">
      <alignment horizontal="left" vertical="center" indent="1"/>
      <protection hidden="1"/>
    </xf>
    <xf numFmtId="1" fontId="14" fillId="29" borderId="18" xfId="0" applyNumberFormat="1" applyFont="1" applyFill="1" applyBorder="1" applyAlignment="1" applyProtection="1">
      <alignment horizontal="left" vertical="center" indent="1"/>
      <protection hidden="1"/>
    </xf>
    <xf numFmtId="1" fontId="61" fillId="0" borderId="0" xfId="0" applyNumberFormat="1" applyFont="1" applyAlignment="1" applyProtection="1">
      <alignment horizontal="left" vertical="center" indent="1"/>
      <protection hidden="1"/>
    </xf>
    <xf numFmtId="1" fontId="14" fillId="30" borderId="18" xfId="0" applyNumberFormat="1" applyFont="1" applyFill="1" applyBorder="1" applyAlignment="1" applyProtection="1">
      <alignment horizontal="left" vertical="center" indent="1"/>
      <protection hidden="1"/>
    </xf>
    <xf numFmtId="1" fontId="14" fillId="32" borderId="18" xfId="0" applyNumberFormat="1" applyFont="1" applyFill="1" applyBorder="1" applyAlignment="1" applyProtection="1">
      <alignment horizontal="left" vertical="center" indent="1"/>
      <protection hidden="1"/>
    </xf>
    <xf numFmtId="1" fontId="14" fillId="31" borderId="18" xfId="0" applyNumberFormat="1" applyFont="1" applyFill="1" applyBorder="1" applyAlignment="1" applyProtection="1">
      <alignment horizontal="left" vertical="center" indent="1"/>
      <protection hidden="1"/>
    </xf>
    <xf numFmtId="176" fontId="14" fillId="34" borderId="18" xfId="0" applyNumberFormat="1" applyFont="1" applyFill="1" applyBorder="1" applyAlignment="1" applyProtection="1">
      <alignment horizontal="center" vertical="center"/>
      <protection locked="0"/>
    </xf>
    <xf numFmtId="167" fontId="14" fillId="28" borderId="18" xfId="0" applyNumberFormat="1" applyFont="1" applyFill="1" applyBorder="1" applyAlignment="1" applyProtection="1">
      <alignment horizontal="center" vertical="center"/>
      <protection locked="0"/>
    </xf>
    <xf numFmtId="0" fontId="34" fillId="0" borderId="0" xfId="0" applyFont="1" applyAlignment="1" applyProtection="1">
      <alignment horizontal="left" vertical="center" indent="1"/>
      <protection hidden="1"/>
    </xf>
    <xf numFmtId="0" fontId="14" fillId="0" borderId="0" xfId="0" applyFont="1" applyAlignment="1" applyProtection="1">
      <alignment horizontal="center" vertical="center"/>
      <protection hidden="1"/>
    </xf>
    <xf numFmtId="0" fontId="14" fillId="0" borderId="0" xfId="0" applyFont="1" applyAlignment="1" applyProtection="1">
      <alignment horizontal="left" vertical="center" indent="1"/>
      <protection hidden="1"/>
    </xf>
    <xf numFmtId="0" fontId="57" fillId="0" borderId="0" xfId="0" applyFont="1" applyAlignment="1" applyProtection="1">
      <alignment horizontal="left" vertical="center" indent="1"/>
      <protection hidden="1"/>
    </xf>
    <xf numFmtId="176" fontId="14" fillId="0" borderId="0" xfId="0" applyNumberFormat="1" applyFont="1" applyAlignment="1" applyProtection="1">
      <alignment horizontal="center" vertical="center"/>
      <protection hidden="1"/>
    </xf>
    <xf numFmtId="1" fontId="57" fillId="0" borderId="7" xfId="0" applyNumberFormat="1" applyFont="1" applyBorder="1" applyAlignment="1" applyProtection="1">
      <alignment horizontal="left" vertical="center" indent="1"/>
      <protection hidden="1"/>
    </xf>
    <xf numFmtId="1" fontId="14" fillId="0" borderId="18" xfId="0" applyNumberFormat="1" applyFont="1" applyBorder="1" applyAlignment="1" applyProtection="1">
      <alignment horizontal="left" vertical="center" indent="1"/>
      <protection hidden="1"/>
    </xf>
    <xf numFmtId="176" fontId="14" fillId="0" borderId="18" xfId="0" applyNumberFormat="1" applyFont="1" applyBorder="1" applyAlignment="1" applyProtection="1">
      <alignment horizontal="center" vertical="center"/>
      <protection hidden="1"/>
    </xf>
    <xf numFmtId="177" fontId="14" fillId="0" borderId="0" xfId="0" applyNumberFormat="1" applyFont="1" applyAlignment="1" applyProtection="1">
      <alignment horizontal="center" vertical="center"/>
      <protection hidden="1"/>
    </xf>
    <xf numFmtId="176" fontId="14" fillId="0" borderId="14" xfId="0" applyNumberFormat="1" applyFont="1" applyBorder="1" applyAlignment="1" applyProtection="1">
      <alignment horizontal="center" vertical="center"/>
      <protection hidden="1"/>
    </xf>
    <xf numFmtId="176" fontId="34" fillId="0" borderId="18" xfId="0" applyNumberFormat="1" applyFont="1" applyBorder="1" applyAlignment="1" applyProtection="1">
      <alignment horizontal="center" vertical="center"/>
      <protection hidden="1"/>
    </xf>
    <xf numFmtId="167" fontId="34" fillId="0" borderId="0" xfId="0" applyNumberFormat="1" applyFont="1" applyAlignment="1" applyProtection="1">
      <alignment horizontal="left" vertical="center" indent="1"/>
      <protection hidden="1"/>
    </xf>
    <xf numFmtId="167" fontId="14" fillId="0" borderId="0" xfId="0" applyNumberFormat="1" applyFont="1" applyAlignment="1" applyProtection="1">
      <alignment horizontal="left" vertical="center" indent="1"/>
      <protection hidden="1"/>
    </xf>
    <xf numFmtId="0" fontId="14" fillId="0" borderId="18" xfId="0" applyFont="1" applyBorder="1" applyAlignment="1" applyProtection="1">
      <alignment horizontal="center" vertical="center"/>
      <protection hidden="1"/>
    </xf>
    <xf numFmtId="1" fontId="14" fillId="0" borderId="21" xfId="0" applyNumberFormat="1" applyFont="1" applyBorder="1" applyAlignment="1" applyProtection="1">
      <alignment horizontal="left" vertical="center" indent="1"/>
      <protection hidden="1"/>
    </xf>
    <xf numFmtId="175" fontId="14" fillId="0" borderId="18" xfId="537" applyNumberFormat="1" applyFont="1" applyBorder="1" applyAlignment="1" applyProtection="1">
      <alignment horizontal="center" vertical="center"/>
      <protection hidden="1"/>
    </xf>
    <xf numFmtId="175" fontId="34" fillId="0" borderId="0" xfId="0" applyNumberFormat="1" applyFont="1" applyAlignment="1" applyProtection="1">
      <alignment horizontal="left" vertical="center" wrapText="1" indent="1"/>
      <protection hidden="1"/>
    </xf>
    <xf numFmtId="0" fontId="34" fillId="0" borderId="0" xfId="0" applyFont="1" applyAlignment="1" applyProtection="1">
      <alignment horizontal="left" vertical="center" wrapText="1" indent="1"/>
      <protection hidden="1"/>
    </xf>
    <xf numFmtId="1" fontId="60" fillId="0" borderId="0" xfId="0" applyNumberFormat="1" applyFont="1" applyAlignment="1" applyProtection="1">
      <alignment horizontal="left" vertical="center" indent="1"/>
      <protection hidden="1"/>
    </xf>
    <xf numFmtId="176" fontId="60" fillId="0" borderId="0" xfId="0" applyNumberFormat="1" applyFont="1" applyAlignment="1" applyProtection="1">
      <alignment horizontal="center" vertical="center"/>
      <protection hidden="1"/>
    </xf>
    <xf numFmtId="0" fontId="60" fillId="0" borderId="0" xfId="0" applyFont="1" applyAlignment="1" applyProtection="1">
      <alignment horizontal="left" vertical="center" indent="1"/>
      <protection hidden="1"/>
    </xf>
    <xf numFmtId="176" fontId="14" fillId="0" borderId="0" xfId="546" applyNumberFormat="1" applyFont="1" applyFill="1" applyBorder="1" applyAlignment="1" applyProtection="1">
      <alignment horizontal="center" vertical="center"/>
      <protection hidden="1"/>
    </xf>
    <xf numFmtId="176" fontId="14" fillId="0" borderId="18" xfId="546" applyNumberFormat="1" applyFont="1" applyFill="1" applyBorder="1" applyAlignment="1" applyProtection="1">
      <alignment horizontal="center" vertical="center"/>
      <protection hidden="1"/>
    </xf>
    <xf numFmtId="176" fontId="34" fillId="0" borderId="18" xfId="546" applyNumberFormat="1" applyFont="1" applyFill="1" applyBorder="1" applyAlignment="1" applyProtection="1">
      <alignment horizontal="center" vertical="center"/>
      <protection hidden="1"/>
    </xf>
    <xf numFmtId="9" fontId="34" fillId="0" borderId="18" xfId="546" applyFont="1" applyFill="1" applyBorder="1" applyAlignment="1" applyProtection="1">
      <alignment horizontal="center" vertical="center"/>
      <protection hidden="1"/>
    </xf>
    <xf numFmtId="167" fontId="34" fillId="0" borderId="18" xfId="546" applyNumberFormat="1" applyFont="1" applyFill="1" applyBorder="1" applyAlignment="1" applyProtection="1">
      <alignment horizontal="center" vertical="center"/>
      <protection hidden="1"/>
    </xf>
    <xf numFmtId="1" fontId="34" fillId="28" borderId="18" xfId="0" applyNumberFormat="1" applyFont="1" applyFill="1" applyBorder="1" applyAlignment="1" applyProtection="1">
      <alignment horizontal="left" vertical="center" indent="1"/>
      <protection locked="0"/>
    </xf>
    <xf numFmtId="4" fontId="34" fillId="0" borderId="0" xfId="0" applyNumberFormat="1" applyFont="1" applyAlignment="1" applyProtection="1">
      <alignment horizontal="left" vertical="center" indent="1"/>
      <protection hidden="1"/>
    </xf>
    <xf numFmtId="4" fontId="34" fillId="29" borderId="18" xfId="0" applyNumberFormat="1" applyFont="1" applyFill="1" applyBorder="1" applyAlignment="1" applyProtection="1">
      <alignment horizontal="left" vertical="center" indent="1"/>
      <protection hidden="1"/>
    </xf>
    <xf numFmtId="4" fontId="34" fillId="30" borderId="18" xfId="0" applyNumberFormat="1" applyFont="1" applyFill="1" applyBorder="1" applyAlignment="1" applyProtection="1">
      <alignment horizontal="left" vertical="center" indent="1"/>
      <protection hidden="1"/>
    </xf>
    <xf numFmtId="4" fontId="34" fillId="32" borderId="18" xfId="0" applyNumberFormat="1" applyFont="1" applyFill="1" applyBorder="1" applyAlignment="1" applyProtection="1">
      <alignment horizontal="left" vertical="center" indent="1"/>
      <protection hidden="1"/>
    </xf>
    <xf numFmtId="4" fontId="34" fillId="31" borderId="18" xfId="0" applyNumberFormat="1" applyFont="1" applyFill="1" applyBorder="1" applyAlignment="1" applyProtection="1">
      <alignment horizontal="left" vertical="center" indent="1"/>
      <protection hidden="1"/>
    </xf>
    <xf numFmtId="1" fontId="34" fillId="32" borderId="18" xfId="0" applyNumberFormat="1" applyFont="1" applyFill="1" applyBorder="1" applyAlignment="1" applyProtection="1">
      <alignment horizontal="left" vertical="center" indent="1"/>
      <protection hidden="1"/>
    </xf>
    <xf numFmtId="1" fontId="34" fillId="31" borderId="18" xfId="0" applyNumberFormat="1" applyFont="1" applyFill="1" applyBorder="1" applyAlignment="1" applyProtection="1">
      <alignment horizontal="left" vertical="center" indent="1"/>
      <protection hidden="1"/>
    </xf>
    <xf numFmtId="1" fontId="34" fillId="30" borderId="18" xfId="0" applyNumberFormat="1" applyFont="1" applyFill="1" applyBorder="1" applyAlignment="1" applyProtection="1">
      <alignment horizontal="left" vertical="center" indent="1"/>
      <protection hidden="1"/>
    </xf>
    <xf numFmtId="1" fontId="34" fillId="29" borderId="18" xfId="0" applyNumberFormat="1" applyFont="1" applyFill="1" applyBorder="1" applyAlignment="1" applyProtection="1">
      <alignment horizontal="left" vertical="center" indent="1"/>
      <protection hidden="1"/>
    </xf>
    <xf numFmtId="176" fontId="14" fillId="0" borderId="0" xfId="0" applyNumberFormat="1" applyFont="1" applyAlignment="1" applyProtection="1">
      <alignment vertical="center" wrapText="1"/>
      <protection hidden="1"/>
    </xf>
    <xf numFmtId="0" fontId="0" fillId="0" borderId="0" xfId="0" applyAlignment="1" applyProtection="1">
      <alignment horizontal="left" vertical="top" wrapText="1" indent="1"/>
      <protection hidden="1"/>
    </xf>
    <xf numFmtId="0" fontId="14" fillId="0" borderId="22" xfId="0" applyFont="1" applyBorder="1" applyAlignment="1" applyProtection="1">
      <alignment horizontal="left" vertical="top" wrapText="1" indent="1"/>
      <protection hidden="1"/>
    </xf>
    <xf numFmtId="0" fontId="0" fillId="0" borderId="22" xfId="0" applyBorder="1" applyAlignment="1" applyProtection="1">
      <alignment horizontal="left" vertical="top" wrapText="1" indent="1"/>
      <protection hidden="1"/>
    </xf>
    <xf numFmtId="175" fontId="34" fillId="35" borderId="6" xfId="546" applyNumberFormat="1" applyFont="1" applyFill="1" applyBorder="1" applyAlignment="1" applyProtection="1">
      <alignment horizontal="left" vertical="center" indent="1"/>
      <protection locked="0"/>
    </xf>
    <xf numFmtId="1" fontId="14" fillId="28" borderId="18" xfId="0" applyNumberFormat="1" applyFont="1" applyFill="1" applyBorder="1" applyAlignment="1" applyProtection="1">
      <alignment horizontal="left" vertical="center" indent="1"/>
      <protection locked="0"/>
    </xf>
    <xf numFmtId="4" fontId="14" fillId="29" borderId="18" xfId="0" applyNumberFormat="1" applyFont="1" applyFill="1" applyBorder="1" applyAlignment="1" applyProtection="1">
      <alignment horizontal="left" vertical="center" indent="1"/>
      <protection hidden="1"/>
    </xf>
    <xf numFmtId="4" fontId="14" fillId="0" borderId="0" xfId="0" applyNumberFormat="1" applyFont="1" applyAlignment="1" applyProtection="1">
      <alignment horizontal="left" vertical="center" indent="1"/>
      <protection hidden="1"/>
    </xf>
    <xf numFmtId="4" fontId="14" fillId="30" borderId="18" xfId="0" applyNumberFormat="1" applyFont="1" applyFill="1" applyBorder="1" applyAlignment="1" applyProtection="1">
      <alignment horizontal="left" vertical="center" indent="1"/>
      <protection hidden="1"/>
    </xf>
    <xf numFmtId="4" fontId="14" fillId="32" borderId="18" xfId="0" applyNumberFormat="1" applyFont="1" applyFill="1" applyBorder="1" applyAlignment="1" applyProtection="1">
      <alignment horizontal="left" vertical="center" indent="1"/>
      <protection hidden="1"/>
    </xf>
    <xf numFmtId="4" fontId="14" fillId="31" borderId="18" xfId="0" applyNumberFormat="1" applyFont="1" applyFill="1" applyBorder="1" applyAlignment="1" applyProtection="1">
      <alignment horizontal="left" vertical="center" indent="1"/>
      <protection hidden="1"/>
    </xf>
    <xf numFmtId="4" fontId="57" fillId="0" borderId="0" xfId="0" applyNumberFormat="1" applyFont="1" applyAlignment="1" applyProtection="1">
      <alignment horizontal="left" vertical="center" indent="1"/>
      <protection hidden="1"/>
    </xf>
  </cellXfs>
  <cellStyles count="560">
    <cellStyle name="$" xfId="1" xr:uid="{00000000-0005-0000-0000-000000000000}"/>
    <cellStyle name="$ &amp; ¢" xfId="2" xr:uid="{00000000-0005-0000-0000-000001000000}"/>
    <cellStyle name="%" xfId="3" xr:uid="{00000000-0005-0000-0000-000002000000}"/>
    <cellStyle name="%.00" xfId="4" xr:uid="{00000000-0005-0000-0000-000003000000}"/>
    <cellStyle name="_New Parts Worksheet" xfId="5" xr:uid="{00000000-0005-0000-0000-000004000000}"/>
    <cellStyle name="_Nieuwe artikelen 2011" xfId="6" xr:uid="{00000000-0005-0000-0000-000005000000}"/>
    <cellStyle name="20 % - Markeringsfarve1" xfId="7" xr:uid="{00000000-0005-0000-0000-000006000000}"/>
    <cellStyle name="20 % - Markeringsfarve2" xfId="8" xr:uid="{00000000-0005-0000-0000-000007000000}"/>
    <cellStyle name="20 % - Markeringsfarve3" xfId="9" xr:uid="{00000000-0005-0000-0000-000008000000}"/>
    <cellStyle name="20 % - Markeringsfarve4" xfId="10" xr:uid="{00000000-0005-0000-0000-000009000000}"/>
    <cellStyle name="20 % - Markeringsfarve5" xfId="11" xr:uid="{00000000-0005-0000-0000-00000A000000}"/>
    <cellStyle name="20 % - Markeringsfarve6" xfId="12" xr:uid="{00000000-0005-0000-0000-00000B000000}"/>
    <cellStyle name="20% - Accent1" xfId="13" builtinId="30" customBuiltin="1"/>
    <cellStyle name="20% - Accent1 2" xfId="14" xr:uid="{00000000-0005-0000-0000-00000D000000}"/>
    <cellStyle name="20% - Accent1 3" xfId="15" xr:uid="{00000000-0005-0000-0000-00000E000000}"/>
    <cellStyle name="20% - Accent2" xfId="16" builtinId="34" customBuiltin="1"/>
    <cellStyle name="20% - Accent2 2" xfId="17" xr:uid="{00000000-0005-0000-0000-000010000000}"/>
    <cellStyle name="20% - Accent2 3" xfId="18" xr:uid="{00000000-0005-0000-0000-000011000000}"/>
    <cellStyle name="20% - Accent3" xfId="19" builtinId="38" customBuiltin="1"/>
    <cellStyle name="20% - Accent3 2" xfId="20" xr:uid="{00000000-0005-0000-0000-000013000000}"/>
    <cellStyle name="20% - Accent3 3" xfId="21" xr:uid="{00000000-0005-0000-0000-000014000000}"/>
    <cellStyle name="20% - Accent4" xfId="22" builtinId="42" customBuiltin="1"/>
    <cellStyle name="20% - Accent4 2" xfId="23" xr:uid="{00000000-0005-0000-0000-000016000000}"/>
    <cellStyle name="20% - Accent4 3" xfId="24" xr:uid="{00000000-0005-0000-0000-000017000000}"/>
    <cellStyle name="20% - Accent5" xfId="25" builtinId="46" customBuiltin="1"/>
    <cellStyle name="20% - Accent5 2" xfId="26" xr:uid="{00000000-0005-0000-0000-000019000000}"/>
    <cellStyle name="20% - Accent5 3" xfId="27" xr:uid="{00000000-0005-0000-0000-00001A000000}"/>
    <cellStyle name="20% - Accent6" xfId="28" builtinId="50" customBuiltin="1"/>
    <cellStyle name="20% - Accent6 2" xfId="29" xr:uid="{00000000-0005-0000-0000-00001C000000}"/>
    <cellStyle name="20% - Accent6 3" xfId="30" xr:uid="{00000000-0005-0000-0000-00001D000000}"/>
    <cellStyle name="20% - Akzent1" xfId="31" xr:uid="{00000000-0005-0000-0000-00001E000000}"/>
    <cellStyle name="20% - Akzent2" xfId="32" xr:uid="{00000000-0005-0000-0000-00001F000000}"/>
    <cellStyle name="20% - Akzent3" xfId="33" xr:uid="{00000000-0005-0000-0000-000020000000}"/>
    <cellStyle name="20% - Akzent4" xfId="34" xr:uid="{00000000-0005-0000-0000-000021000000}"/>
    <cellStyle name="20% - Akzent5" xfId="35" xr:uid="{00000000-0005-0000-0000-000022000000}"/>
    <cellStyle name="20% - Akzent6" xfId="36" xr:uid="{00000000-0005-0000-0000-000023000000}"/>
    <cellStyle name="40 % - Markeringsfarve1" xfId="37" xr:uid="{00000000-0005-0000-0000-000024000000}"/>
    <cellStyle name="40 % - Markeringsfarve2" xfId="38" xr:uid="{00000000-0005-0000-0000-000025000000}"/>
    <cellStyle name="40 % - Markeringsfarve3" xfId="39" xr:uid="{00000000-0005-0000-0000-000026000000}"/>
    <cellStyle name="40 % - Markeringsfarve4" xfId="40" xr:uid="{00000000-0005-0000-0000-000027000000}"/>
    <cellStyle name="40 % - Markeringsfarve5" xfId="41" xr:uid="{00000000-0005-0000-0000-000028000000}"/>
    <cellStyle name="40 % - Markeringsfarve6" xfId="42" xr:uid="{00000000-0005-0000-0000-000029000000}"/>
    <cellStyle name="40% - Accent1" xfId="43" builtinId="31" customBuiltin="1"/>
    <cellStyle name="40% - Accent1 2" xfId="44" xr:uid="{00000000-0005-0000-0000-00002B000000}"/>
    <cellStyle name="40% - Accent1 3" xfId="45" xr:uid="{00000000-0005-0000-0000-00002C000000}"/>
    <cellStyle name="40% - Accent2" xfId="46" builtinId="35" customBuiltin="1"/>
    <cellStyle name="40% - Accent2 2" xfId="47" xr:uid="{00000000-0005-0000-0000-00002E000000}"/>
    <cellStyle name="40% - Accent2 3" xfId="48" xr:uid="{00000000-0005-0000-0000-00002F000000}"/>
    <cellStyle name="40% - Accent3" xfId="49" builtinId="39" customBuiltin="1"/>
    <cellStyle name="40% - Accent3 2" xfId="50" xr:uid="{00000000-0005-0000-0000-000031000000}"/>
    <cellStyle name="40% - Accent3 3" xfId="51" xr:uid="{00000000-0005-0000-0000-000032000000}"/>
    <cellStyle name="40% - Accent4" xfId="52" builtinId="43" customBuiltin="1"/>
    <cellStyle name="40% - Accent4 2" xfId="53" xr:uid="{00000000-0005-0000-0000-000034000000}"/>
    <cellStyle name="40% - Accent4 3" xfId="54" xr:uid="{00000000-0005-0000-0000-000035000000}"/>
    <cellStyle name="40% - Accent5" xfId="55" builtinId="47" customBuiltin="1"/>
    <cellStyle name="40% - Accent5 2" xfId="56" xr:uid="{00000000-0005-0000-0000-000037000000}"/>
    <cellStyle name="40% - Accent5 3" xfId="57" xr:uid="{00000000-0005-0000-0000-000038000000}"/>
    <cellStyle name="40% - Accent6" xfId="58" builtinId="51" customBuiltin="1"/>
    <cellStyle name="40% - Accent6 2" xfId="59" xr:uid="{00000000-0005-0000-0000-00003A000000}"/>
    <cellStyle name="40% - Accent6 3" xfId="60" xr:uid="{00000000-0005-0000-0000-00003B000000}"/>
    <cellStyle name="40% - Akzent1" xfId="61" xr:uid="{00000000-0005-0000-0000-00003C000000}"/>
    <cellStyle name="40% - Akzent2" xfId="62" xr:uid="{00000000-0005-0000-0000-00003D000000}"/>
    <cellStyle name="40% - Akzent3" xfId="63" xr:uid="{00000000-0005-0000-0000-00003E000000}"/>
    <cellStyle name="40% - Akzent4" xfId="64" xr:uid="{00000000-0005-0000-0000-00003F000000}"/>
    <cellStyle name="40% - Akzent5" xfId="65" xr:uid="{00000000-0005-0000-0000-000040000000}"/>
    <cellStyle name="40% - Akzent6" xfId="66" xr:uid="{00000000-0005-0000-0000-000041000000}"/>
    <cellStyle name="60" xfId="67" xr:uid="{00000000-0005-0000-0000-000042000000}"/>
    <cellStyle name="60 % - Markeringsfarve1" xfId="68" xr:uid="{00000000-0005-0000-0000-000043000000}"/>
    <cellStyle name="60 % - Markeringsfarve2" xfId="69" xr:uid="{00000000-0005-0000-0000-000044000000}"/>
    <cellStyle name="60 % - Markeringsfarve3" xfId="70" xr:uid="{00000000-0005-0000-0000-000045000000}"/>
    <cellStyle name="60 % - Markeringsfarve4" xfId="71" xr:uid="{00000000-0005-0000-0000-000046000000}"/>
    <cellStyle name="60 % - Markeringsfarve5" xfId="72" xr:uid="{00000000-0005-0000-0000-000047000000}"/>
    <cellStyle name="60 % - Markeringsfarve6" xfId="73" xr:uid="{00000000-0005-0000-0000-000048000000}"/>
    <cellStyle name="60% - Accent1" xfId="74" builtinId="32" customBuiltin="1"/>
    <cellStyle name="60% - Accent1 2" xfId="75" xr:uid="{00000000-0005-0000-0000-00004A000000}"/>
    <cellStyle name="60% - Accent1 3" xfId="76" xr:uid="{00000000-0005-0000-0000-00004B000000}"/>
    <cellStyle name="60% - Accent2" xfId="77" builtinId="36" customBuiltin="1"/>
    <cellStyle name="60% - Accent2 2" xfId="78" xr:uid="{00000000-0005-0000-0000-00004D000000}"/>
    <cellStyle name="60% - Accent2 3" xfId="79" xr:uid="{00000000-0005-0000-0000-00004E000000}"/>
    <cellStyle name="60% - Accent3" xfId="80" builtinId="40" customBuiltin="1"/>
    <cellStyle name="60% - Accent3 2" xfId="81" xr:uid="{00000000-0005-0000-0000-000050000000}"/>
    <cellStyle name="60% - Accent3 3" xfId="82" xr:uid="{00000000-0005-0000-0000-000051000000}"/>
    <cellStyle name="60% - Accent4" xfId="83" builtinId="44" customBuiltin="1"/>
    <cellStyle name="60% - Accent4 2" xfId="84" xr:uid="{00000000-0005-0000-0000-000053000000}"/>
    <cellStyle name="60% - Accent4 3" xfId="85" xr:uid="{00000000-0005-0000-0000-000054000000}"/>
    <cellStyle name="60% - Accent5" xfId="86" builtinId="48" customBuiltin="1"/>
    <cellStyle name="60% - Accent5 2" xfId="87" xr:uid="{00000000-0005-0000-0000-000056000000}"/>
    <cellStyle name="60% - Accent5 3" xfId="88" xr:uid="{00000000-0005-0000-0000-000057000000}"/>
    <cellStyle name="60% - Accent6" xfId="89" builtinId="52" customBuiltin="1"/>
    <cellStyle name="60% - Accent6 2" xfId="90" xr:uid="{00000000-0005-0000-0000-000059000000}"/>
    <cellStyle name="60% - Accent6 3" xfId="91" xr:uid="{00000000-0005-0000-0000-00005A000000}"/>
    <cellStyle name="60% - Akzent1" xfId="92" xr:uid="{00000000-0005-0000-0000-00005B000000}"/>
    <cellStyle name="60% - Akzent2" xfId="93" xr:uid="{00000000-0005-0000-0000-00005C000000}"/>
    <cellStyle name="60% - Akzent3" xfId="94" xr:uid="{00000000-0005-0000-0000-00005D000000}"/>
    <cellStyle name="60% - Akzent4" xfId="95" xr:uid="{00000000-0005-0000-0000-00005E000000}"/>
    <cellStyle name="60% - Akzent5" xfId="96" xr:uid="{00000000-0005-0000-0000-00005F000000}"/>
    <cellStyle name="60% - Akzent6" xfId="97" xr:uid="{00000000-0005-0000-0000-000060000000}"/>
    <cellStyle name="Accent1" xfId="98" builtinId="29" customBuiltin="1"/>
    <cellStyle name="Accent1 2" xfId="99" xr:uid="{00000000-0005-0000-0000-000062000000}"/>
    <cellStyle name="Accent1 3" xfId="100" xr:uid="{00000000-0005-0000-0000-000063000000}"/>
    <cellStyle name="Accent2" xfId="101" builtinId="33" customBuiltin="1"/>
    <cellStyle name="Accent2 2" xfId="102" xr:uid="{00000000-0005-0000-0000-000065000000}"/>
    <cellStyle name="Accent2 3" xfId="103" xr:uid="{00000000-0005-0000-0000-000066000000}"/>
    <cellStyle name="Accent3" xfId="104" builtinId="37" customBuiltin="1"/>
    <cellStyle name="Accent3 2" xfId="105" xr:uid="{00000000-0005-0000-0000-000068000000}"/>
    <cellStyle name="Accent3 3" xfId="106" xr:uid="{00000000-0005-0000-0000-000069000000}"/>
    <cellStyle name="Accent4" xfId="107" builtinId="41" customBuiltin="1"/>
    <cellStyle name="Accent4 2" xfId="108" xr:uid="{00000000-0005-0000-0000-00006B000000}"/>
    <cellStyle name="Accent4 3" xfId="109" xr:uid="{00000000-0005-0000-0000-00006C000000}"/>
    <cellStyle name="Accent5" xfId="110" builtinId="45" customBuiltin="1"/>
    <cellStyle name="Accent5 2" xfId="111" xr:uid="{00000000-0005-0000-0000-00006E000000}"/>
    <cellStyle name="Accent5 3" xfId="112" xr:uid="{00000000-0005-0000-0000-00006F000000}"/>
    <cellStyle name="Accent6" xfId="113" builtinId="49" customBuiltin="1"/>
    <cellStyle name="Accent6 2" xfId="114" xr:uid="{00000000-0005-0000-0000-000071000000}"/>
    <cellStyle name="Accent6 3" xfId="115" xr:uid="{00000000-0005-0000-0000-000072000000}"/>
    <cellStyle name="Advarselstekst" xfId="116" xr:uid="{00000000-0005-0000-0000-000073000000}"/>
    <cellStyle name="Akzent1" xfId="117" xr:uid="{00000000-0005-0000-0000-000074000000}"/>
    <cellStyle name="Akzent2" xfId="118" xr:uid="{00000000-0005-0000-0000-000075000000}"/>
    <cellStyle name="Akzent3" xfId="119" xr:uid="{00000000-0005-0000-0000-000076000000}"/>
    <cellStyle name="Akzent4" xfId="120" xr:uid="{00000000-0005-0000-0000-000077000000}"/>
    <cellStyle name="Akzent5" xfId="121" xr:uid="{00000000-0005-0000-0000-000078000000}"/>
    <cellStyle name="Akzent6" xfId="122" xr:uid="{00000000-0005-0000-0000-000079000000}"/>
    <cellStyle name="Ausgabe" xfId="123" xr:uid="{00000000-0005-0000-0000-00007A000000}"/>
    <cellStyle name="Bad" xfId="341" xr:uid="{00000000-0005-0000-0000-00007B000000}"/>
    <cellStyle name="Bemærk!" xfId="124" xr:uid="{00000000-0005-0000-0000-00007C000000}"/>
    <cellStyle name="Bemærk! 10" xfId="125" xr:uid="{00000000-0005-0000-0000-00007D000000}"/>
    <cellStyle name="Bemærk! 10 2" xfId="126" xr:uid="{00000000-0005-0000-0000-00007E000000}"/>
    <cellStyle name="Bemærk! 11" xfId="127" xr:uid="{00000000-0005-0000-0000-00007F000000}"/>
    <cellStyle name="Bemærk! 11 2" xfId="128" xr:uid="{00000000-0005-0000-0000-000080000000}"/>
    <cellStyle name="Bemærk! 12" xfId="129" xr:uid="{00000000-0005-0000-0000-000081000000}"/>
    <cellStyle name="Bemærk! 12 2" xfId="130" xr:uid="{00000000-0005-0000-0000-000082000000}"/>
    <cellStyle name="Bemærk! 12 3" xfId="131" xr:uid="{00000000-0005-0000-0000-000083000000}"/>
    <cellStyle name="Bemærk! 13" xfId="132" xr:uid="{00000000-0005-0000-0000-000084000000}"/>
    <cellStyle name="Bemærk! 13 2" xfId="133" xr:uid="{00000000-0005-0000-0000-000085000000}"/>
    <cellStyle name="Bemærk! 14" xfId="134" xr:uid="{00000000-0005-0000-0000-000086000000}"/>
    <cellStyle name="Bemærk! 15" xfId="135" xr:uid="{00000000-0005-0000-0000-000087000000}"/>
    <cellStyle name="Bemærk! 2" xfId="136" xr:uid="{00000000-0005-0000-0000-000088000000}"/>
    <cellStyle name="Bemærk! 2 2" xfId="137" xr:uid="{00000000-0005-0000-0000-000089000000}"/>
    <cellStyle name="Bemærk! 2 2 2" xfId="138" xr:uid="{00000000-0005-0000-0000-00008A000000}"/>
    <cellStyle name="Bemærk! 2 2 3" xfId="139" xr:uid="{00000000-0005-0000-0000-00008B000000}"/>
    <cellStyle name="Bemærk! 2 2 4" xfId="140" xr:uid="{00000000-0005-0000-0000-00008C000000}"/>
    <cellStyle name="Bemærk! 2 2 5" xfId="141" xr:uid="{00000000-0005-0000-0000-00008D000000}"/>
    <cellStyle name="Bemærk! 2 2 5 2" xfId="142" xr:uid="{00000000-0005-0000-0000-00008E000000}"/>
    <cellStyle name="Bemærk! 2 2 6" xfId="143" xr:uid="{00000000-0005-0000-0000-00008F000000}"/>
    <cellStyle name="Bemærk! 2 2 6 2" xfId="144" xr:uid="{00000000-0005-0000-0000-000090000000}"/>
    <cellStyle name="Bemærk! 2 3" xfId="145" xr:uid="{00000000-0005-0000-0000-000091000000}"/>
    <cellStyle name="Bemærk! 2 4" xfId="146" xr:uid="{00000000-0005-0000-0000-000092000000}"/>
    <cellStyle name="Bemærk! 3" xfId="147" xr:uid="{00000000-0005-0000-0000-000093000000}"/>
    <cellStyle name="Bemærk! 4" xfId="148" xr:uid="{00000000-0005-0000-0000-000094000000}"/>
    <cellStyle name="Bemærk! 4 2" xfId="149" xr:uid="{00000000-0005-0000-0000-000095000000}"/>
    <cellStyle name="Bemærk! 4 3" xfId="150" xr:uid="{00000000-0005-0000-0000-000096000000}"/>
    <cellStyle name="Bemærk! 4 4" xfId="151" xr:uid="{00000000-0005-0000-0000-000097000000}"/>
    <cellStyle name="Bemærk! 4 5" xfId="152" xr:uid="{00000000-0005-0000-0000-000098000000}"/>
    <cellStyle name="Bemærk! 4 5 2" xfId="153" xr:uid="{00000000-0005-0000-0000-000099000000}"/>
    <cellStyle name="Bemærk! 4 6" xfId="154" xr:uid="{00000000-0005-0000-0000-00009A000000}"/>
    <cellStyle name="Bemærk! 4 6 2" xfId="155" xr:uid="{00000000-0005-0000-0000-00009B000000}"/>
    <cellStyle name="Bemærk! 5" xfId="156" xr:uid="{00000000-0005-0000-0000-00009C000000}"/>
    <cellStyle name="Bemærk! 5 2" xfId="157" xr:uid="{00000000-0005-0000-0000-00009D000000}"/>
    <cellStyle name="Bemærk! 5 3" xfId="158" xr:uid="{00000000-0005-0000-0000-00009E000000}"/>
    <cellStyle name="Bemærk! 5 3 2" xfId="159" xr:uid="{00000000-0005-0000-0000-00009F000000}"/>
    <cellStyle name="Bemærk! 5 4" xfId="160" xr:uid="{00000000-0005-0000-0000-0000A0000000}"/>
    <cellStyle name="Bemærk! 5 4 2" xfId="161" xr:uid="{00000000-0005-0000-0000-0000A1000000}"/>
    <cellStyle name="Bemærk! 6" xfId="162" xr:uid="{00000000-0005-0000-0000-0000A2000000}"/>
    <cellStyle name="Bemærk! 6 2" xfId="163" xr:uid="{00000000-0005-0000-0000-0000A3000000}"/>
    <cellStyle name="Bemærk! 6 2 2" xfId="164" xr:uid="{00000000-0005-0000-0000-0000A4000000}"/>
    <cellStyle name="Bemærk! 6 3" xfId="165" xr:uid="{00000000-0005-0000-0000-0000A5000000}"/>
    <cellStyle name="Bemærk! 6 4" xfId="166" xr:uid="{00000000-0005-0000-0000-0000A6000000}"/>
    <cellStyle name="Bemærk! 6 4 2" xfId="167" xr:uid="{00000000-0005-0000-0000-0000A7000000}"/>
    <cellStyle name="Bemærk! 7" xfId="168" xr:uid="{00000000-0005-0000-0000-0000A8000000}"/>
    <cellStyle name="Bemærk! 7 2" xfId="169" xr:uid="{00000000-0005-0000-0000-0000A9000000}"/>
    <cellStyle name="Bemærk! 7 2 2" xfId="170" xr:uid="{00000000-0005-0000-0000-0000AA000000}"/>
    <cellStyle name="Bemærk! 7 3" xfId="171" xr:uid="{00000000-0005-0000-0000-0000AB000000}"/>
    <cellStyle name="Bemærk! 7 4" xfId="172" xr:uid="{00000000-0005-0000-0000-0000AC000000}"/>
    <cellStyle name="Bemærk! 7 4 2" xfId="173" xr:uid="{00000000-0005-0000-0000-0000AD000000}"/>
    <cellStyle name="Bemærk! 8" xfId="174" xr:uid="{00000000-0005-0000-0000-0000AE000000}"/>
    <cellStyle name="Bemærk! 8 2" xfId="175" xr:uid="{00000000-0005-0000-0000-0000AF000000}"/>
    <cellStyle name="Bemærk! 9" xfId="176" xr:uid="{00000000-0005-0000-0000-0000B0000000}"/>
    <cellStyle name="Bemærk! 9 2" xfId="177" xr:uid="{00000000-0005-0000-0000-0000B1000000}"/>
    <cellStyle name="Berechnung" xfId="178" xr:uid="{00000000-0005-0000-0000-0000B2000000}"/>
    <cellStyle name="Beregning" xfId="179" xr:uid="{00000000-0005-0000-0000-0000B3000000}"/>
    <cellStyle name="Berekening 2" xfId="180" xr:uid="{00000000-0005-0000-0000-0000B5000000}"/>
    <cellStyle name="Berekening 3" xfId="181" xr:uid="{00000000-0005-0000-0000-0000B6000000}"/>
    <cellStyle name="Border, Bottom" xfId="182" xr:uid="{00000000-0005-0000-0000-0000B7000000}"/>
    <cellStyle name="Border, Left" xfId="183" xr:uid="{00000000-0005-0000-0000-0000B8000000}"/>
    <cellStyle name="Border, Right" xfId="184" xr:uid="{00000000-0005-0000-0000-0000B9000000}"/>
    <cellStyle name="Border, Top" xfId="185" xr:uid="{00000000-0005-0000-0000-0000BA000000}"/>
    <cellStyle name="Calculation" xfId="186" builtinId="22" customBuiltin="1"/>
    <cellStyle name="Check Cell" xfId="195" xr:uid="{00000000-0005-0000-0000-0000BC000000}"/>
    <cellStyle name="Comma  - Style1" xfId="187" xr:uid="{00000000-0005-0000-0000-0000BD000000}"/>
    <cellStyle name="Comma  - Style2" xfId="188" xr:uid="{00000000-0005-0000-0000-0000BE000000}"/>
    <cellStyle name="Comma  - Style3" xfId="189" xr:uid="{00000000-0005-0000-0000-0000BF000000}"/>
    <cellStyle name="Comma  - Style4" xfId="190" xr:uid="{00000000-0005-0000-0000-0000C0000000}"/>
    <cellStyle name="Comma  - Style5" xfId="191" xr:uid="{00000000-0005-0000-0000-0000C1000000}"/>
    <cellStyle name="Comma  - Style6" xfId="192" xr:uid="{00000000-0005-0000-0000-0000C2000000}"/>
    <cellStyle name="Comma  - Style7" xfId="193" xr:uid="{00000000-0005-0000-0000-0000C3000000}"/>
    <cellStyle name="Comma  - Style8" xfId="194" xr:uid="{00000000-0005-0000-0000-0000C4000000}"/>
    <cellStyle name="Controlecel 2" xfId="196" xr:uid="{00000000-0005-0000-0000-0000C6000000}"/>
    <cellStyle name="Controlecel 3" xfId="197" xr:uid="{00000000-0005-0000-0000-0000C7000000}"/>
    <cellStyle name="Currency $   (0.00) RED" xfId="198" xr:uid="{00000000-0005-0000-0000-0000C8000000}"/>
    <cellStyle name="Custom - Style8" xfId="199" xr:uid="{00000000-0005-0000-0000-0000C9000000}"/>
    <cellStyle name="Data   - Style2" xfId="200" xr:uid="{00000000-0005-0000-0000-0000CA000000}"/>
    <cellStyle name="Dezimal_20081111_TPP_Template" xfId="201" xr:uid="{00000000-0005-0000-0000-0000CB000000}"/>
    <cellStyle name="Eingabe" xfId="202" xr:uid="{00000000-0005-0000-0000-0000CC000000}"/>
    <cellStyle name="Ergebnis" xfId="203" xr:uid="{00000000-0005-0000-0000-0000CD000000}"/>
    <cellStyle name="Erklärender Text" xfId="204" xr:uid="{00000000-0005-0000-0000-0000CE000000}"/>
    <cellStyle name="Euro" xfId="205" xr:uid="{00000000-0005-0000-0000-0000CF000000}"/>
    <cellStyle name="Euro 10" xfId="206" xr:uid="{00000000-0005-0000-0000-0000D0000000}"/>
    <cellStyle name="Euro 10 2" xfId="207" xr:uid="{00000000-0005-0000-0000-0000D1000000}"/>
    <cellStyle name="Euro 11" xfId="208" xr:uid="{00000000-0005-0000-0000-0000D2000000}"/>
    <cellStyle name="Euro 11 2" xfId="209" xr:uid="{00000000-0005-0000-0000-0000D3000000}"/>
    <cellStyle name="Euro 12" xfId="210" xr:uid="{00000000-0005-0000-0000-0000D4000000}"/>
    <cellStyle name="Euro 12 2" xfId="211" xr:uid="{00000000-0005-0000-0000-0000D5000000}"/>
    <cellStyle name="Euro 12 3" xfId="212" xr:uid="{00000000-0005-0000-0000-0000D6000000}"/>
    <cellStyle name="Euro 13" xfId="213" xr:uid="{00000000-0005-0000-0000-0000D7000000}"/>
    <cellStyle name="Euro 13 2" xfId="214" xr:uid="{00000000-0005-0000-0000-0000D8000000}"/>
    <cellStyle name="Euro 14" xfId="215" xr:uid="{00000000-0005-0000-0000-0000D9000000}"/>
    <cellStyle name="Euro 15" xfId="216" xr:uid="{00000000-0005-0000-0000-0000DA000000}"/>
    <cellStyle name="Euro 2" xfId="217" xr:uid="{00000000-0005-0000-0000-0000DB000000}"/>
    <cellStyle name="Euro 2 2" xfId="218" xr:uid="{00000000-0005-0000-0000-0000DC000000}"/>
    <cellStyle name="Euro 2 2 2" xfId="219" xr:uid="{00000000-0005-0000-0000-0000DD000000}"/>
    <cellStyle name="Euro 2 2 3" xfId="220" xr:uid="{00000000-0005-0000-0000-0000DE000000}"/>
    <cellStyle name="Euro 2 2 4" xfId="221" xr:uid="{00000000-0005-0000-0000-0000DF000000}"/>
    <cellStyle name="Euro 2 2 5" xfId="222" xr:uid="{00000000-0005-0000-0000-0000E0000000}"/>
    <cellStyle name="Euro 2 2 5 2" xfId="223" xr:uid="{00000000-0005-0000-0000-0000E1000000}"/>
    <cellStyle name="Euro 2 2 6" xfId="224" xr:uid="{00000000-0005-0000-0000-0000E2000000}"/>
    <cellStyle name="Euro 2 2 6 2" xfId="225" xr:uid="{00000000-0005-0000-0000-0000E3000000}"/>
    <cellStyle name="Euro 2 3" xfId="226" xr:uid="{00000000-0005-0000-0000-0000E4000000}"/>
    <cellStyle name="Euro 2 4" xfId="227" xr:uid="{00000000-0005-0000-0000-0000E5000000}"/>
    <cellStyle name="Euro 3" xfId="228" xr:uid="{00000000-0005-0000-0000-0000E6000000}"/>
    <cellStyle name="Euro 4" xfId="229" xr:uid="{00000000-0005-0000-0000-0000E7000000}"/>
    <cellStyle name="Euro 4 2" xfId="230" xr:uid="{00000000-0005-0000-0000-0000E8000000}"/>
    <cellStyle name="Euro 4 3" xfId="231" xr:uid="{00000000-0005-0000-0000-0000E9000000}"/>
    <cellStyle name="Euro 4 4" xfId="232" xr:uid="{00000000-0005-0000-0000-0000EA000000}"/>
    <cellStyle name="Euro 4 5" xfId="233" xr:uid="{00000000-0005-0000-0000-0000EB000000}"/>
    <cellStyle name="Euro 4 5 2" xfId="234" xr:uid="{00000000-0005-0000-0000-0000EC000000}"/>
    <cellStyle name="Euro 4 6" xfId="235" xr:uid="{00000000-0005-0000-0000-0000ED000000}"/>
    <cellStyle name="Euro 4 6 2" xfId="236" xr:uid="{00000000-0005-0000-0000-0000EE000000}"/>
    <cellStyle name="Euro 5" xfId="237" xr:uid="{00000000-0005-0000-0000-0000EF000000}"/>
    <cellStyle name="Euro 5 2" xfId="238" xr:uid="{00000000-0005-0000-0000-0000F0000000}"/>
    <cellStyle name="Euro 5 3" xfId="239" xr:uid="{00000000-0005-0000-0000-0000F1000000}"/>
    <cellStyle name="Euro 5 3 2" xfId="240" xr:uid="{00000000-0005-0000-0000-0000F2000000}"/>
    <cellStyle name="Euro 5 4" xfId="241" xr:uid="{00000000-0005-0000-0000-0000F3000000}"/>
    <cellStyle name="Euro 5 4 2" xfId="242" xr:uid="{00000000-0005-0000-0000-0000F4000000}"/>
    <cellStyle name="Euro 6" xfId="243" xr:uid="{00000000-0005-0000-0000-0000F5000000}"/>
    <cellStyle name="Euro 6 2" xfId="244" xr:uid="{00000000-0005-0000-0000-0000F6000000}"/>
    <cellStyle name="Euro 6 2 2" xfId="245" xr:uid="{00000000-0005-0000-0000-0000F7000000}"/>
    <cellStyle name="Euro 6 3" xfId="246" xr:uid="{00000000-0005-0000-0000-0000F8000000}"/>
    <cellStyle name="Euro 6 4" xfId="247" xr:uid="{00000000-0005-0000-0000-0000F9000000}"/>
    <cellStyle name="Euro 6 4 2" xfId="248" xr:uid="{00000000-0005-0000-0000-0000FA000000}"/>
    <cellStyle name="Euro 7" xfId="249" xr:uid="{00000000-0005-0000-0000-0000FB000000}"/>
    <cellStyle name="Euro 7 2" xfId="250" xr:uid="{00000000-0005-0000-0000-0000FC000000}"/>
    <cellStyle name="Euro 7 2 2" xfId="251" xr:uid="{00000000-0005-0000-0000-0000FD000000}"/>
    <cellStyle name="Euro 7 3" xfId="252" xr:uid="{00000000-0005-0000-0000-0000FE000000}"/>
    <cellStyle name="Euro 7 4" xfId="253" xr:uid="{00000000-0005-0000-0000-0000FF000000}"/>
    <cellStyle name="Euro 7 4 2" xfId="254" xr:uid="{00000000-0005-0000-0000-000000010000}"/>
    <cellStyle name="Euro 8" xfId="255" xr:uid="{00000000-0005-0000-0000-000001010000}"/>
    <cellStyle name="Euro 8 2" xfId="256" xr:uid="{00000000-0005-0000-0000-000002010000}"/>
    <cellStyle name="Euro 9" xfId="257" xr:uid="{00000000-0005-0000-0000-000003010000}"/>
    <cellStyle name="Euro 9 2" xfId="258" xr:uid="{00000000-0005-0000-0000-000004010000}"/>
    <cellStyle name="Explanatory Text" xfId="518" xr:uid="{00000000-0005-0000-0000-000005010000}"/>
    <cellStyle name="Forklarende tekst" xfId="259" xr:uid="{00000000-0005-0000-0000-000006010000}"/>
    <cellStyle name="Gekoppelde cel 2" xfId="260" xr:uid="{00000000-0005-0000-0000-000008010000}"/>
    <cellStyle name="Gekoppelde cel 3" xfId="261" xr:uid="{00000000-0005-0000-0000-000009010000}"/>
    <cellStyle name="God" xfId="262" xr:uid="{00000000-0005-0000-0000-00000A010000}"/>
    <cellStyle name="Goed 2" xfId="263" xr:uid="{00000000-0005-0000-0000-00000C010000}"/>
    <cellStyle name="Goed 3" xfId="264" xr:uid="{00000000-0005-0000-0000-00000D010000}"/>
    <cellStyle name="Good" xfId="265" builtinId="26" customBuiltin="1"/>
    <cellStyle name="Grey" xfId="266" xr:uid="{00000000-0005-0000-0000-00000F010000}"/>
    <cellStyle name="Gut" xfId="267" xr:uid="{00000000-0005-0000-0000-000010010000}"/>
    <cellStyle name="HEADER" xfId="268" xr:uid="{00000000-0005-0000-0000-000011010000}"/>
    <cellStyle name="Header1" xfId="269" xr:uid="{00000000-0005-0000-0000-000012010000}"/>
    <cellStyle name="Header2" xfId="270" xr:uid="{00000000-0005-0000-0000-000013010000}"/>
    <cellStyle name="Heading 1" xfId="279" xr:uid="{00000000-0005-0000-0000-000014010000}"/>
    <cellStyle name="Heading 2" xfId="282" xr:uid="{00000000-0005-0000-0000-000015010000}"/>
    <cellStyle name="Heading 3" xfId="285" xr:uid="{00000000-0005-0000-0000-000016010000}"/>
    <cellStyle name="Heading 4" xfId="288" xr:uid="{00000000-0005-0000-0000-000017010000}"/>
    <cellStyle name="Hyperlink 2" xfId="271" xr:uid="{00000000-0005-0000-0000-000018010000}"/>
    <cellStyle name="Hyperlink 3" xfId="272" xr:uid="{00000000-0005-0000-0000-000019010000}"/>
    <cellStyle name="Input" xfId="274" xr:uid="{00000000-0005-0000-0000-00001A010000}"/>
    <cellStyle name="Input [yellow]" xfId="273" xr:uid="{00000000-0005-0000-0000-00001B010000}"/>
    <cellStyle name="Invoer 2" xfId="275" xr:uid="{00000000-0005-0000-0000-00001D010000}"/>
    <cellStyle name="Invoer 3" xfId="276" xr:uid="{00000000-0005-0000-0000-00001E010000}"/>
    <cellStyle name="Komma 2" xfId="277" xr:uid="{00000000-0005-0000-0000-000020010000}"/>
    <cellStyle name="Kontroller celle" xfId="278" xr:uid="{00000000-0005-0000-0000-000021010000}"/>
    <cellStyle name="Kop 1 2" xfId="280" xr:uid="{00000000-0005-0000-0000-000023010000}"/>
    <cellStyle name="Kop 1 3" xfId="281" xr:uid="{00000000-0005-0000-0000-000024010000}"/>
    <cellStyle name="Kop 2 2" xfId="283" xr:uid="{00000000-0005-0000-0000-000026010000}"/>
    <cellStyle name="Kop 2 3" xfId="284" xr:uid="{00000000-0005-0000-0000-000027010000}"/>
    <cellStyle name="Kop 3 2" xfId="286" xr:uid="{00000000-0005-0000-0000-000029010000}"/>
    <cellStyle name="Kop 3 3" xfId="287" xr:uid="{00000000-0005-0000-0000-00002A010000}"/>
    <cellStyle name="Kop 4 2" xfId="289" xr:uid="{00000000-0005-0000-0000-00002C010000}"/>
    <cellStyle name="Kop 4 3" xfId="290" xr:uid="{00000000-0005-0000-0000-00002D010000}"/>
    <cellStyle name="Labels - Style3" xfId="291" xr:uid="{00000000-0005-0000-0000-00002E010000}"/>
    <cellStyle name="Linked Cell" xfId="292" builtinId="24" customBuiltin="1"/>
    <cellStyle name="Markeringsfarve1" xfId="293" xr:uid="{00000000-0005-0000-0000-000030010000}"/>
    <cellStyle name="Markeringsfarve2" xfId="294" xr:uid="{00000000-0005-0000-0000-000031010000}"/>
    <cellStyle name="Markeringsfarve3" xfId="295" xr:uid="{00000000-0005-0000-0000-000032010000}"/>
    <cellStyle name="Markeringsfarve4" xfId="296" xr:uid="{00000000-0005-0000-0000-000033010000}"/>
    <cellStyle name="Markeringsfarve5" xfId="297" xr:uid="{00000000-0005-0000-0000-000034010000}"/>
    <cellStyle name="Markeringsfarve6" xfId="298" xr:uid="{00000000-0005-0000-0000-000035010000}"/>
    <cellStyle name="měny_budget" xfId="299" xr:uid="{00000000-0005-0000-0000-000036010000}"/>
    <cellStyle name="mm/dd/yy" xfId="300" xr:uid="{00000000-0005-0000-0000-000037010000}"/>
    <cellStyle name="Model" xfId="301" xr:uid="{00000000-0005-0000-0000-000038010000}"/>
    <cellStyle name="Neutraal 2" xfId="302" xr:uid="{00000000-0005-0000-0000-00003A010000}"/>
    <cellStyle name="Neutraal 3" xfId="303" xr:uid="{00000000-0005-0000-0000-00003B010000}"/>
    <cellStyle name="Neutral" xfId="304" builtinId="28" customBuiltin="1"/>
    <cellStyle name="no dec" xfId="305" xr:uid="{00000000-0005-0000-0000-00003D010000}"/>
    <cellStyle name="Normal" xfId="0" builtinId="0"/>
    <cellStyle name="Normal - Style1" xfId="306" xr:uid="{00000000-0005-0000-0000-00003E010000}"/>
    <cellStyle name="Normal_Sheet1" xfId="307" xr:uid="{00000000-0005-0000-0000-00003F010000}"/>
    <cellStyle name="normální_budget" xfId="308" xr:uid="{00000000-0005-0000-0000-000040010000}"/>
    <cellStyle name="Note" xfId="309" xr:uid="{00000000-0005-0000-0000-000041010000}"/>
    <cellStyle name="Notitie 2" xfId="310" xr:uid="{00000000-0005-0000-0000-000043010000}"/>
    <cellStyle name="Notitie 3" xfId="311" xr:uid="{00000000-0005-0000-0000-000044010000}"/>
    <cellStyle name="Notitie 4" xfId="312" xr:uid="{00000000-0005-0000-0000-000045010000}"/>
    <cellStyle name="Notiz" xfId="313" xr:uid="{00000000-0005-0000-0000-000046010000}"/>
    <cellStyle name="Notiz 10" xfId="314" xr:uid="{00000000-0005-0000-0000-000047010000}"/>
    <cellStyle name="Notiz 10 2" xfId="315" xr:uid="{00000000-0005-0000-0000-000048010000}"/>
    <cellStyle name="Notiz 10 3" xfId="316" xr:uid="{00000000-0005-0000-0000-000049010000}"/>
    <cellStyle name="Notiz 2" xfId="317" xr:uid="{00000000-0005-0000-0000-00004A010000}"/>
    <cellStyle name="Notiz 3" xfId="318" xr:uid="{00000000-0005-0000-0000-00004B010000}"/>
    <cellStyle name="Notiz 3 2" xfId="319" xr:uid="{00000000-0005-0000-0000-00004C010000}"/>
    <cellStyle name="Notiz 3 3" xfId="320" xr:uid="{00000000-0005-0000-0000-00004D010000}"/>
    <cellStyle name="Notiz 3 4" xfId="321" xr:uid="{00000000-0005-0000-0000-00004E010000}"/>
    <cellStyle name="Notiz 3 5" xfId="322" xr:uid="{00000000-0005-0000-0000-00004F010000}"/>
    <cellStyle name="Notiz 3 5 2" xfId="323" xr:uid="{00000000-0005-0000-0000-000050010000}"/>
    <cellStyle name="Notiz 3 6" xfId="324" xr:uid="{00000000-0005-0000-0000-000051010000}"/>
    <cellStyle name="Notiz 3 6 2" xfId="325" xr:uid="{00000000-0005-0000-0000-000052010000}"/>
    <cellStyle name="Notiz 4" xfId="326" xr:uid="{00000000-0005-0000-0000-000053010000}"/>
    <cellStyle name="Notiz 5" xfId="327" xr:uid="{00000000-0005-0000-0000-000054010000}"/>
    <cellStyle name="Notiz 5 2" xfId="328" xr:uid="{00000000-0005-0000-0000-000055010000}"/>
    <cellStyle name="Notiz 5 2 2" xfId="329" xr:uid="{00000000-0005-0000-0000-000056010000}"/>
    <cellStyle name="Notiz 5 3" xfId="330" xr:uid="{00000000-0005-0000-0000-000057010000}"/>
    <cellStyle name="Notiz 5 4" xfId="331" xr:uid="{00000000-0005-0000-0000-000058010000}"/>
    <cellStyle name="Notiz 5 4 2" xfId="332" xr:uid="{00000000-0005-0000-0000-000059010000}"/>
    <cellStyle name="Notiz 6" xfId="333" xr:uid="{00000000-0005-0000-0000-00005A010000}"/>
    <cellStyle name="Notiz 6 2" xfId="334" xr:uid="{00000000-0005-0000-0000-00005B010000}"/>
    <cellStyle name="Notiz 7" xfId="335" xr:uid="{00000000-0005-0000-0000-00005C010000}"/>
    <cellStyle name="Notiz 7 2" xfId="336" xr:uid="{00000000-0005-0000-0000-00005D010000}"/>
    <cellStyle name="Notiz 8" xfId="337" xr:uid="{00000000-0005-0000-0000-00005E010000}"/>
    <cellStyle name="Notiz 8 2" xfId="338" xr:uid="{00000000-0005-0000-0000-00005F010000}"/>
    <cellStyle name="Notiz 9" xfId="339" xr:uid="{00000000-0005-0000-0000-000060010000}"/>
    <cellStyle name="Notiz 9 2" xfId="340" xr:uid="{00000000-0005-0000-0000-000061010000}"/>
    <cellStyle name="Ongeldig 2" xfId="342" xr:uid="{00000000-0005-0000-0000-000063010000}"/>
    <cellStyle name="Ongeldig 3" xfId="343" xr:uid="{00000000-0005-0000-0000-000064010000}"/>
    <cellStyle name="Output" xfId="515" xr:uid="{00000000-0005-0000-0000-000065010000}"/>
    <cellStyle name="Overskrift 1" xfId="344" xr:uid="{00000000-0005-0000-0000-000066010000}"/>
    <cellStyle name="Overskrift 2" xfId="345" xr:uid="{00000000-0005-0000-0000-000067010000}"/>
    <cellStyle name="Overskrift 3" xfId="346" xr:uid="{00000000-0005-0000-0000-000068010000}"/>
    <cellStyle name="Overskrift 4" xfId="347" xr:uid="{00000000-0005-0000-0000-000069010000}"/>
    <cellStyle name="Percent" xfId="537" builtinId="5"/>
    <cellStyle name="Percent (00.0%) RED" xfId="348" xr:uid="{00000000-0005-0000-0000-00006A010000}"/>
    <cellStyle name="Percent (00.0%) RED 10" xfId="349" xr:uid="{00000000-0005-0000-0000-00006B010000}"/>
    <cellStyle name="Percent (00.0%) RED 10 2" xfId="350" xr:uid="{00000000-0005-0000-0000-00006C010000}"/>
    <cellStyle name="Percent (00.0%) RED 10 3" xfId="351" xr:uid="{00000000-0005-0000-0000-00006D010000}"/>
    <cellStyle name="Percent (00.0%) RED 2" xfId="352" xr:uid="{00000000-0005-0000-0000-00006E010000}"/>
    <cellStyle name="Percent (00.0%) RED 3" xfId="353" xr:uid="{00000000-0005-0000-0000-00006F010000}"/>
    <cellStyle name="Percent (00.0%) RED 3 2" xfId="354" xr:uid="{00000000-0005-0000-0000-000070010000}"/>
    <cellStyle name="Percent (00.0%) RED 3 3" xfId="355" xr:uid="{00000000-0005-0000-0000-000071010000}"/>
    <cellStyle name="Percent (00.0%) RED 3 4" xfId="356" xr:uid="{00000000-0005-0000-0000-000072010000}"/>
    <cellStyle name="Percent (00.0%) RED 3 5" xfId="357" xr:uid="{00000000-0005-0000-0000-000073010000}"/>
    <cellStyle name="Percent (00.0%) RED 3 5 2" xfId="358" xr:uid="{00000000-0005-0000-0000-000074010000}"/>
    <cellStyle name="Percent (00.0%) RED 3 6" xfId="359" xr:uid="{00000000-0005-0000-0000-000075010000}"/>
    <cellStyle name="Percent (00.0%) RED 3 6 2" xfId="360" xr:uid="{00000000-0005-0000-0000-000076010000}"/>
    <cellStyle name="Percent (00.0%) RED 4" xfId="361" xr:uid="{00000000-0005-0000-0000-000077010000}"/>
    <cellStyle name="Percent (00.0%) RED 5" xfId="362" xr:uid="{00000000-0005-0000-0000-000078010000}"/>
    <cellStyle name="Percent (00.0%) RED 5 2" xfId="363" xr:uid="{00000000-0005-0000-0000-000079010000}"/>
    <cellStyle name="Percent (00.0%) RED 5 2 2" xfId="364" xr:uid="{00000000-0005-0000-0000-00007A010000}"/>
    <cellStyle name="Percent (00.0%) RED 5 3" xfId="365" xr:uid="{00000000-0005-0000-0000-00007B010000}"/>
    <cellStyle name="Percent (00.0%) RED 5 4" xfId="366" xr:uid="{00000000-0005-0000-0000-00007C010000}"/>
    <cellStyle name="Percent (00.0%) RED 5 4 2" xfId="367" xr:uid="{00000000-0005-0000-0000-00007D010000}"/>
    <cellStyle name="Percent (00.0%) RED 6" xfId="368" xr:uid="{00000000-0005-0000-0000-00007E010000}"/>
    <cellStyle name="Percent (00.0%) RED 6 2" xfId="369" xr:uid="{00000000-0005-0000-0000-00007F010000}"/>
    <cellStyle name="Percent (00.0%) RED 7" xfId="370" xr:uid="{00000000-0005-0000-0000-000080010000}"/>
    <cellStyle name="Percent (00.0%) RED 7 2" xfId="371" xr:uid="{00000000-0005-0000-0000-000081010000}"/>
    <cellStyle name="Percent (00.0%) RED 8" xfId="372" xr:uid="{00000000-0005-0000-0000-000082010000}"/>
    <cellStyle name="Percent (00.0%) RED 8 2" xfId="373" xr:uid="{00000000-0005-0000-0000-000083010000}"/>
    <cellStyle name="Percent (00.0%) RED 9" xfId="374" xr:uid="{00000000-0005-0000-0000-000084010000}"/>
    <cellStyle name="Percent (00.0%) RED 9 2" xfId="375" xr:uid="{00000000-0005-0000-0000-000085010000}"/>
    <cellStyle name="Percent [2]" xfId="376" xr:uid="{00000000-0005-0000-0000-000086010000}"/>
    <cellStyle name="Percent [2] 10" xfId="377" xr:uid="{00000000-0005-0000-0000-000087010000}"/>
    <cellStyle name="Percent [2] 10 2" xfId="378" xr:uid="{00000000-0005-0000-0000-000088010000}"/>
    <cellStyle name="Percent [2] 10 3" xfId="379" xr:uid="{00000000-0005-0000-0000-000089010000}"/>
    <cellStyle name="Percent [2] 2" xfId="380" xr:uid="{00000000-0005-0000-0000-00008A010000}"/>
    <cellStyle name="Percent [2] 3" xfId="381" xr:uid="{00000000-0005-0000-0000-00008B010000}"/>
    <cellStyle name="Percent [2] 3 2" xfId="382" xr:uid="{00000000-0005-0000-0000-00008C010000}"/>
    <cellStyle name="Percent [2] 3 3" xfId="383" xr:uid="{00000000-0005-0000-0000-00008D010000}"/>
    <cellStyle name="Percent [2] 3 4" xfId="384" xr:uid="{00000000-0005-0000-0000-00008E010000}"/>
    <cellStyle name="Percent [2] 3 5" xfId="385" xr:uid="{00000000-0005-0000-0000-00008F010000}"/>
    <cellStyle name="Percent [2] 3 5 2" xfId="386" xr:uid="{00000000-0005-0000-0000-000090010000}"/>
    <cellStyle name="Percent [2] 3 6" xfId="387" xr:uid="{00000000-0005-0000-0000-000091010000}"/>
    <cellStyle name="Percent [2] 3 6 2" xfId="388" xr:uid="{00000000-0005-0000-0000-000092010000}"/>
    <cellStyle name="Percent [2] 4" xfId="389" xr:uid="{00000000-0005-0000-0000-000093010000}"/>
    <cellStyle name="Percent [2] 5" xfId="390" xr:uid="{00000000-0005-0000-0000-000094010000}"/>
    <cellStyle name="Percent [2] 5 2" xfId="391" xr:uid="{00000000-0005-0000-0000-000095010000}"/>
    <cellStyle name="Percent [2] 5 2 2" xfId="392" xr:uid="{00000000-0005-0000-0000-000096010000}"/>
    <cellStyle name="Percent [2] 5 3" xfId="393" xr:uid="{00000000-0005-0000-0000-000097010000}"/>
    <cellStyle name="Percent [2] 5 4" xfId="394" xr:uid="{00000000-0005-0000-0000-000098010000}"/>
    <cellStyle name="Percent [2] 5 4 2" xfId="395" xr:uid="{00000000-0005-0000-0000-000099010000}"/>
    <cellStyle name="Percent [2] 6" xfId="396" xr:uid="{00000000-0005-0000-0000-00009A010000}"/>
    <cellStyle name="Percent [2] 6 2" xfId="397" xr:uid="{00000000-0005-0000-0000-00009B010000}"/>
    <cellStyle name="Percent [2] 7" xfId="398" xr:uid="{00000000-0005-0000-0000-00009C010000}"/>
    <cellStyle name="Percent [2] 7 2" xfId="399" xr:uid="{00000000-0005-0000-0000-00009D010000}"/>
    <cellStyle name="Percent [2] 8" xfId="400" xr:uid="{00000000-0005-0000-0000-00009E010000}"/>
    <cellStyle name="Percent [2] 8 2" xfId="401" xr:uid="{00000000-0005-0000-0000-00009F010000}"/>
    <cellStyle name="Percent [2] 9" xfId="402" xr:uid="{00000000-0005-0000-0000-0000A0010000}"/>
    <cellStyle name="Percent [2] 9 2" xfId="403" xr:uid="{00000000-0005-0000-0000-0000A1010000}"/>
    <cellStyle name="Procent 10" xfId="559" xr:uid="{D539D313-9FE2-443E-A406-FD67C12C97EA}"/>
    <cellStyle name="Procent 2" xfId="404" xr:uid="{00000000-0005-0000-0000-0000A3010000}"/>
    <cellStyle name="Procent 2 2" xfId="405" xr:uid="{00000000-0005-0000-0000-0000A4010000}"/>
    <cellStyle name="Procent 2 2 2" xfId="533" xr:uid="{DBB3ACCA-B4AB-4C57-82DD-A7BA2063DB10}"/>
    <cellStyle name="Procent 3" xfId="406" xr:uid="{00000000-0005-0000-0000-0000A5010000}"/>
    <cellStyle name="Procent 3 2" xfId="407" xr:uid="{00000000-0005-0000-0000-0000A6010000}"/>
    <cellStyle name="Procent 4" xfId="408" xr:uid="{00000000-0005-0000-0000-0000A7010000}"/>
    <cellStyle name="Procent 5" xfId="409" xr:uid="{00000000-0005-0000-0000-0000A8010000}"/>
    <cellStyle name="Procent 5 2" xfId="532" xr:uid="{642148D8-EA14-4DAB-969B-2D517D1CB8D7}"/>
    <cellStyle name="Procent 5 3" xfId="535" xr:uid="{926B8BCF-878B-417B-A552-FAE92AC33FE9}"/>
    <cellStyle name="Procent 6" xfId="543" xr:uid="{C0F5F5E3-3958-4E08-8D66-224711CE8A45}"/>
    <cellStyle name="Procent 7" xfId="546" xr:uid="{808FBA71-445D-4FFA-84C9-2961365D8AC7}"/>
    <cellStyle name="Procent 8" xfId="548" xr:uid="{E7D8CBC4-0BF2-4737-9EE5-45728AA86679}"/>
    <cellStyle name="Procent 9" xfId="550" xr:uid="{2CCAAD5C-C9B6-4A3A-ADA8-C788B399C0E1}"/>
    <cellStyle name="Prozent 2" xfId="410" xr:uid="{00000000-0005-0000-0000-0000A9010000}"/>
    <cellStyle name="Reset  - Style7" xfId="411" xr:uid="{00000000-0005-0000-0000-0000AA010000}"/>
    <cellStyle name="Sammenkædet celle" xfId="412" xr:uid="{00000000-0005-0000-0000-0000AB010000}"/>
    <cellStyle name="Schlecht" xfId="413" xr:uid="{00000000-0005-0000-0000-0000AC010000}"/>
    <cellStyle name="Standaard 10" xfId="545" xr:uid="{A3904236-F249-457C-B689-F1C1CBEA0761}"/>
    <cellStyle name="Standaard 11" xfId="547" xr:uid="{C87B714A-CBA2-412E-AD72-6C866DD63EF8}"/>
    <cellStyle name="Standaard 12" xfId="549" xr:uid="{7C9AE53F-198A-4C08-A05A-DFDF5426EC23}"/>
    <cellStyle name="Standaard 13" xfId="551" xr:uid="{A423595C-B0A7-43A5-9E51-AE469E2E27F5}"/>
    <cellStyle name="Standaard 14" xfId="553" xr:uid="{CA0435E6-A611-44B3-92D7-18043EF32FD0}"/>
    <cellStyle name="Standaard 15" xfId="555" xr:uid="{913C8563-28D8-4F8C-84A7-F574B15FDEC9}"/>
    <cellStyle name="Standaard 16" xfId="556" xr:uid="{DDA8BF0A-5AD4-433C-9C39-6ADD150D45BB}"/>
    <cellStyle name="Standaard 17" xfId="558" xr:uid="{AC3A1CA4-EED6-4EF9-9841-BFED04A30EED}"/>
    <cellStyle name="Standaard 18" xfId="530" xr:uid="{31418C43-E463-4BCF-8F47-CDA20C616B1A}"/>
    <cellStyle name="Standaard 2" xfId="414" xr:uid="{00000000-0005-0000-0000-0000AE010000}"/>
    <cellStyle name="Standaard 2 2" xfId="415" xr:uid="{00000000-0005-0000-0000-0000AF010000}"/>
    <cellStyle name="Standaard 2 2 2" xfId="529" xr:uid="{95EFEC07-52E2-4A28-AB39-1702C759A49B}"/>
    <cellStyle name="Standaard 2 3" xfId="416" xr:uid="{00000000-0005-0000-0000-0000B0010000}"/>
    <cellStyle name="Standaard 2 4" xfId="528" xr:uid="{99B2B13F-41B6-452D-9E91-E952D09C76A3}"/>
    <cellStyle name="Standaard 3" xfId="417" xr:uid="{00000000-0005-0000-0000-0000B1010000}"/>
    <cellStyle name="Standaard 4" xfId="418" xr:uid="{00000000-0005-0000-0000-0000B2010000}"/>
    <cellStyle name="Standaard 4 2" xfId="419" xr:uid="{00000000-0005-0000-0000-0000B3010000}"/>
    <cellStyle name="Standaard 5" xfId="420" xr:uid="{00000000-0005-0000-0000-0000B4010000}"/>
    <cellStyle name="Standaard 6" xfId="421" xr:uid="{00000000-0005-0000-0000-0000B5010000}"/>
    <cellStyle name="Standaard 6 2" xfId="531" xr:uid="{7723F388-71D9-4B61-A7B6-2F56C2E1DE21}"/>
    <cellStyle name="Standaard 6 3" xfId="534" xr:uid="{0087D28C-39AB-4AF0-8E5C-F09A657E72F6}"/>
    <cellStyle name="Standaard 6 4" xfId="536" xr:uid="{0D4F201D-C534-4D5F-87CB-1FCA21CE9046}"/>
    <cellStyle name="Standaard 7" xfId="422" xr:uid="{00000000-0005-0000-0000-0000B6010000}"/>
    <cellStyle name="Standaard 8" xfId="538" xr:uid="{20D87FB5-714F-4055-99E0-D08643B79168}"/>
    <cellStyle name="Standaard 9" xfId="544" xr:uid="{B21ABBF6-D3DD-47F7-9582-1CB66B75C1C3}"/>
    <cellStyle name="Standard 10 2" xfId="423" xr:uid="{00000000-0005-0000-0000-0000B8010000}"/>
    <cellStyle name="Standard 2 10 2 2 2 2" xfId="424" xr:uid="{00000000-0005-0000-0000-0000B9010000}"/>
    <cellStyle name="Standard 2 2" xfId="425" xr:uid="{00000000-0005-0000-0000-0000BA010000}"/>
    <cellStyle name="Standard 2 3" xfId="426" xr:uid="{00000000-0005-0000-0000-0000BB010000}"/>
    <cellStyle name="Standard 2 4" xfId="427" xr:uid="{00000000-0005-0000-0000-0000BC010000}"/>
    <cellStyle name="Standard 2 4 17" xfId="428" xr:uid="{00000000-0005-0000-0000-0000BD010000}"/>
    <cellStyle name="Standard 23" xfId="429" xr:uid="{00000000-0005-0000-0000-0000BE010000}"/>
    <cellStyle name="Standard 23 2" xfId="430" xr:uid="{00000000-0005-0000-0000-0000BF010000}"/>
    <cellStyle name="Standard 24" xfId="431" xr:uid="{00000000-0005-0000-0000-0000C0010000}"/>
    <cellStyle name="Standard 24 2" xfId="432" xr:uid="{00000000-0005-0000-0000-0000C1010000}"/>
    <cellStyle name="Standard 25" xfId="433" xr:uid="{00000000-0005-0000-0000-0000C2010000}"/>
    <cellStyle name="Standard 25 2" xfId="434" xr:uid="{00000000-0005-0000-0000-0000C3010000}"/>
    <cellStyle name="Standard 25 3" xfId="540" xr:uid="{A6683465-666D-4F30-863D-25F6399AD72D}"/>
    <cellStyle name="Standard 29" xfId="435" xr:uid="{00000000-0005-0000-0000-0000C4010000}"/>
    <cellStyle name="Standard 29 2" xfId="539" xr:uid="{30DF5FD2-79D5-4163-B0B0-DD78EAB07B0F}"/>
    <cellStyle name="Standard 3" xfId="436" xr:uid="{00000000-0005-0000-0000-0000C5010000}"/>
    <cellStyle name="Standard 3 2" xfId="437" xr:uid="{00000000-0005-0000-0000-0000C6010000}"/>
    <cellStyle name="Standard 32" xfId="438" xr:uid="{00000000-0005-0000-0000-0000C7010000}"/>
    <cellStyle name="Standard 32 2" xfId="439" xr:uid="{00000000-0005-0000-0000-0000C8010000}"/>
    <cellStyle name="Standard 88" xfId="440" xr:uid="{00000000-0005-0000-0000-0000C9010000}"/>
    <cellStyle name="Standard 88 2" xfId="541" xr:uid="{955B5742-85F2-42C6-B83C-A092D75F0FF1}"/>
    <cellStyle name="Standard 90" xfId="441" xr:uid="{00000000-0005-0000-0000-0000CA010000}"/>
    <cellStyle name="Standard_02_Data Table" xfId="442" xr:uid="{00000000-0005-0000-0000-0000CB010000}"/>
    <cellStyle name="Stijl 1" xfId="443" xr:uid="{00000000-0005-0000-0000-0000CC010000}"/>
    <cellStyle name="Stijl 1 10" xfId="444" xr:uid="{00000000-0005-0000-0000-0000CD010000}"/>
    <cellStyle name="Stijl 1 10 2" xfId="445" xr:uid="{00000000-0005-0000-0000-0000CE010000}"/>
    <cellStyle name="Stijl 1 11" xfId="446" xr:uid="{00000000-0005-0000-0000-0000CF010000}"/>
    <cellStyle name="Stijl 1 11 2" xfId="447" xr:uid="{00000000-0005-0000-0000-0000D0010000}"/>
    <cellStyle name="Stijl 1 12" xfId="448" xr:uid="{00000000-0005-0000-0000-0000D1010000}"/>
    <cellStyle name="Stijl 1 12 2" xfId="449" xr:uid="{00000000-0005-0000-0000-0000D2010000}"/>
    <cellStyle name="Stijl 1 12 3" xfId="450" xr:uid="{00000000-0005-0000-0000-0000D3010000}"/>
    <cellStyle name="Stijl 1 13" xfId="451" xr:uid="{00000000-0005-0000-0000-0000D4010000}"/>
    <cellStyle name="Stijl 1 13 2" xfId="452" xr:uid="{00000000-0005-0000-0000-0000D5010000}"/>
    <cellStyle name="Stijl 1 14" xfId="453" xr:uid="{00000000-0005-0000-0000-0000D6010000}"/>
    <cellStyle name="Stijl 1 15" xfId="454" xr:uid="{00000000-0005-0000-0000-0000D7010000}"/>
    <cellStyle name="Stijl 1 2" xfId="455" xr:uid="{00000000-0005-0000-0000-0000D8010000}"/>
    <cellStyle name="Stijl 1 2 2" xfId="456" xr:uid="{00000000-0005-0000-0000-0000D9010000}"/>
    <cellStyle name="Stijl 1 2 2 2" xfId="457" xr:uid="{00000000-0005-0000-0000-0000DA010000}"/>
    <cellStyle name="Stijl 1 2 2 3" xfId="458" xr:uid="{00000000-0005-0000-0000-0000DB010000}"/>
    <cellStyle name="Stijl 1 2 2 4" xfId="459" xr:uid="{00000000-0005-0000-0000-0000DC010000}"/>
    <cellStyle name="Stijl 1 2 2 5" xfId="460" xr:uid="{00000000-0005-0000-0000-0000DD010000}"/>
    <cellStyle name="Stijl 1 2 2 5 2" xfId="461" xr:uid="{00000000-0005-0000-0000-0000DE010000}"/>
    <cellStyle name="Stijl 1 2 2 6" xfId="462" xr:uid="{00000000-0005-0000-0000-0000DF010000}"/>
    <cellStyle name="Stijl 1 2 2 6 2" xfId="463" xr:uid="{00000000-0005-0000-0000-0000E0010000}"/>
    <cellStyle name="Stijl 1 2 3" xfId="464" xr:uid="{00000000-0005-0000-0000-0000E1010000}"/>
    <cellStyle name="Stijl 1 2 4" xfId="465" xr:uid="{00000000-0005-0000-0000-0000E2010000}"/>
    <cellStyle name="Stijl 1 3" xfId="466" xr:uid="{00000000-0005-0000-0000-0000E3010000}"/>
    <cellStyle name="Stijl 1 4" xfId="467" xr:uid="{00000000-0005-0000-0000-0000E4010000}"/>
    <cellStyle name="Stijl 1 4 2" xfId="468" xr:uid="{00000000-0005-0000-0000-0000E5010000}"/>
    <cellStyle name="Stijl 1 4 3" xfId="469" xr:uid="{00000000-0005-0000-0000-0000E6010000}"/>
    <cellStyle name="Stijl 1 4 4" xfId="470" xr:uid="{00000000-0005-0000-0000-0000E7010000}"/>
    <cellStyle name="Stijl 1 4 5" xfId="471" xr:uid="{00000000-0005-0000-0000-0000E8010000}"/>
    <cellStyle name="Stijl 1 4 5 2" xfId="472" xr:uid="{00000000-0005-0000-0000-0000E9010000}"/>
    <cellStyle name="Stijl 1 4 6" xfId="473" xr:uid="{00000000-0005-0000-0000-0000EA010000}"/>
    <cellStyle name="Stijl 1 4 6 2" xfId="474" xr:uid="{00000000-0005-0000-0000-0000EB010000}"/>
    <cellStyle name="Stijl 1 5" xfId="475" xr:uid="{00000000-0005-0000-0000-0000EC010000}"/>
    <cellStyle name="Stijl 1 5 2" xfId="476" xr:uid="{00000000-0005-0000-0000-0000ED010000}"/>
    <cellStyle name="Stijl 1 5 3" xfId="477" xr:uid="{00000000-0005-0000-0000-0000EE010000}"/>
    <cellStyle name="Stijl 1 5 3 2" xfId="478" xr:uid="{00000000-0005-0000-0000-0000EF010000}"/>
    <cellStyle name="Stijl 1 5 4" xfId="479" xr:uid="{00000000-0005-0000-0000-0000F0010000}"/>
    <cellStyle name="Stijl 1 5 4 2" xfId="480" xr:uid="{00000000-0005-0000-0000-0000F1010000}"/>
    <cellStyle name="Stijl 1 6" xfId="481" xr:uid="{00000000-0005-0000-0000-0000F2010000}"/>
    <cellStyle name="Stijl 1 6 2" xfId="482" xr:uid="{00000000-0005-0000-0000-0000F3010000}"/>
    <cellStyle name="Stijl 1 6 2 2" xfId="483" xr:uid="{00000000-0005-0000-0000-0000F4010000}"/>
    <cellStyle name="Stijl 1 6 3" xfId="484" xr:uid="{00000000-0005-0000-0000-0000F5010000}"/>
    <cellStyle name="Stijl 1 6 4" xfId="485" xr:uid="{00000000-0005-0000-0000-0000F6010000}"/>
    <cellStyle name="Stijl 1 6 4 2" xfId="486" xr:uid="{00000000-0005-0000-0000-0000F7010000}"/>
    <cellStyle name="Stijl 1 7" xfId="487" xr:uid="{00000000-0005-0000-0000-0000F8010000}"/>
    <cellStyle name="Stijl 1 7 2" xfId="488" xr:uid="{00000000-0005-0000-0000-0000F9010000}"/>
    <cellStyle name="Stijl 1 7 2 2" xfId="489" xr:uid="{00000000-0005-0000-0000-0000FA010000}"/>
    <cellStyle name="Stijl 1 7 3" xfId="490" xr:uid="{00000000-0005-0000-0000-0000FB010000}"/>
    <cellStyle name="Stijl 1 7 4" xfId="491" xr:uid="{00000000-0005-0000-0000-0000FC010000}"/>
    <cellStyle name="Stijl 1 7 4 2" xfId="492" xr:uid="{00000000-0005-0000-0000-0000FD010000}"/>
    <cellStyle name="Stijl 1 8" xfId="493" xr:uid="{00000000-0005-0000-0000-0000FE010000}"/>
    <cellStyle name="Stijl 1 8 2" xfId="494" xr:uid="{00000000-0005-0000-0000-0000FF010000}"/>
    <cellStyle name="Stijl 1 9" xfId="495" xr:uid="{00000000-0005-0000-0000-000000020000}"/>
    <cellStyle name="Stijl 1 9 2" xfId="496" xr:uid="{00000000-0005-0000-0000-000001020000}"/>
    <cellStyle name="Style 1" xfId="497" xr:uid="{00000000-0005-0000-0000-000002020000}"/>
    <cellStyle name="subhead" xfId="498" xr:uid="{00000000-0005-0000-0000-000003020000}"/>
    <cellStyle name="Table  - Style6" xfId="499" xr:uid="{00000000-0005-0000-0000-000004020000}"/>
    <cellStyle name="Text Wrap" xfId="500" xr:uid="{00000000-0005-0000-0000-000005020000}"/>
    <cellStyle name="Titel 2" xfId="501" xr:uid="{00000000-0005-0000-0000-000007020000}"/>
    <cellStyle name="Title" xfId="502" builtinId="15" customBuiltin="1"/>
    <cellStyle name="Title  - Style1" xfId="503" xr:uid="{00000000-0005-0000-0000-000009020000}"/>
    <cellStyle name="Totaal 2" xfId="504" xr:uid="{00000000-0005-0000-0000-00000B020000}"/>
    <cellStyle name="Totaal 3" xfId="505" xr:uid="{00000000-0005-0000-0000-00000C020000}"/>
    <cellStyle name="Total" xfId="506" builtinId="25" customBuiltin="1"/>
    <cellStyle name="TotCol - Style5" xfId="507" xr:uid="{00000000-0005-0000-0000-00000E020000}"/>
    <cellStyle name="TotRow - Style4" xfId="508" xr:uid="{00000000-0005-0000-0000-00000F020000}"/>
    <cellStyle name="Überschrift" xfId="509" xr:uid="{00000000-0005-0000-0000-000010020000}"/>
    <cellStyle name="Überschrift 1" xfId="510" xr:uid="{00000000-0005-0000-0000-000011020000}"/>
    <cellStyle name="Überschrift 2" xfId="511" xr:uid="{00000000-0005-0000-0000-000012020000}"/>
    <cellStyle name="Überschrift 3" xfId="512" xr:uid="{00000000-0005-0000-0000-000013020000}"/>
    <cellStyle name="Überschrift 4" xfId="513" xr:uid="{00000000-0005-0000-0000-000014020000}"/>
    <cellStyle name="Ugyldig" xfId="514" xr:uid="{00000000-0005-0000-0000-000015020000}"/>
    <cellStyle name="Uitvoer 2" xfId="516" xr:uid="{00000000-0005-0000-0000-000017020000}"/>
    <cellStyle name="Uitvoer 3" xfId="517" xr:uid="{00000000-0005-0000-0000-000018020000}"/>
    <cellStyle name="Valuta 2" xfId="552" xr:uid="{E98DA268-55D1-4D3E-8048-059D3F6CFECE}"/>
    <cellStyle name="Valuta 3" xfId="554" xr:uid="{7C252BDC-AD1F-4940-8C8B-9DD423C51DE4}"/>
    <cellStyle name="Valuta 4" xfId="557" xr:uid="{FDB0A766-90EB-414B-AC40-8F42FA389287}"/>
    <cellStyle name="Verklarende tekst 2" xfId="519" xr:uid="{00000000-0005-0000-0000-00001A020000}"/>
    <cellStyle name="Verklarende tekst 3" xfId="520" xr:uid="{00000000-0005-0000-0000-00001B020000}"/>
    <cellStyle name="Verknüpfte Zelle" xfId="521" xr:uid="{00000000-0005-0000-0000-00001C020000}"/>
    <cellStyle name="Waarschuwingstekst 2" xfId="522" xr:uid="{00000000-0005-0000-0000-00001E020000}"/>
    <cellStyle name="Waarschuwingstekst 3" xfId="523" xr:uid="{00000000-0005-0000-0000-00001F020000}"/>
    <cellStyle name="Währung 2" xfId="524" xr:uid="{00000000-0005-0000-0000-000020020000}"/>
    <cellStyle name="Währung 2 2" xfId="542" xr:uid="{C4963E44-0633-491D-97DB-F0E63F817C04}"/>
    <cellStyle name="Warnender Text" xfId="525" xr:uid="{00000000-0005-0000-0000-000021020000}"/>
    <cellStyle name="Warning Text" xfId="526" builtinId="11" customBuiltin="1"/>
    <cellStyle name="Zelle überprüfen" xfId="527" xr:uid="{00000000-0005-0000-0000-000023020000}"/>
  </cellStyles>
  <dxfs count="0"/>
  <tableStyles count="0" defaultTableStyle="TableStyleMedium2" defaultPivotStyle="PivotStyleLight16"/>
  <colors>
    <mruColors>
      <color rgb="FF00FF00"/>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onju1\AppData\Local\Microsoft\Windows\Temporary%20Internet%20Files\Content.Outlook\Z3U0ZE19\Vertrieb_301118%20FC%20Update%202111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lshbnlfs1.hbnl.hella.com\data\COMMERCIE\MARKT\alonju1\HOLGER%20RUILDELEN\AAJuan\Prijzen\DOCUME~1\PRECDA1\LOCALS~1\Temp\~836933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A-SP\A-SP-PR2\50_DATEN\01_Portfolio&#252;bersicht\161212_Master_Data_PR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hella-my.sharepoint.com/GH-S2/GH-S2P/International%20Pricing/play%20-%20practice/PM_Article_al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alonju1\AppData\Local\Microsoft\Windows\Temporary%20Internet%20Files\Content.IE5\WOUUX4O6\516a8b44-8f3b-47d1-839d-bf1209bde7a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esktop%2009-12-11\SoM_Concept_April%20201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T:\628vbnt06\NFZ-Controlling\Pricing\Pricing\2011\Price%20amendments\Brand%20positioning\Brand%20Positioning%20Summary%20(wegew%20v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COMMERCIE\MARKT\alonju1\HELLA%20ELEKTRONICA\COMMERCIE\VERKOOP\Voorraadvoorstellen\DOCUME~1\alonju1\LOCALS~1\Temp\notesFFF692\Voorraadvoorstel%20Lambda%202004%202005%2020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VMH\VMH-VC\VMH-VC\Budget\01%20Umsatzplanung\SM_plan\SMP20102011\BEARBEITET\BP_1072_bearbeitet_V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628vbnt06\NFZ-Controlling\Pricing\Pricing\2011\Parallel\Parallel%20summary%20file_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628vbnt06\NFZ-Controlling\Pricing\Pricing\2010\Parallel\Parallel%20Product%20Comparison%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628vbnt06\NFZ-Controlling\Pricing\Pricing\2011\Proposals\Price%20analysis\Comparison%20stenci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ella-my.sharepoint.com/GH-S2/GH-S2P/International%20Pricing/play%20-%20practice/Customer%20terms%20model_Hella_GH_tes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dc2msp02v.dc.hella.com/Users/sosnvi1/AppData/Local/Temp/notes3835DC/Shine%20-%20Draft%20P&amp;L%20workbook_201511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esktop%2009-12-11\Pricing_EBIT_Tool_PGR12_Brand_Market_Article_FC3+9_1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Gh-Z\Rn\GH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dc2msp02v.dc.hella.com/bewdaten/BUDGET/Planung/PLAN_2001/Aktuell/BUplan00_99_te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lshbnlfs1.hbnl.hella.com\COMMERCIE\MARKT\alonju1\HOLGER%20RUILDELEN\AAJuan\Prijzen\DOCUME~1\PRECDA1\LOCALS~1\Temp\~836933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Vertrieb"/>
      <sheetName val="Jürgen"/>
      <sheetName val="Sascha"/>
      <sheetName val="DE"/>
      <sheetName val="AT"/>
      <sheetName val="CH"/>
      <sheetName val="NORDICS"/>
      <sheetName val="BENL"/>
      <sheetName val="CZ_SK"/>
      <sheetName val="ES"/>
      <sheetName val="PT"/>
      <sheetName val="GBIE"/>
      <sheetName val="FR"/>
      <sheetName val="HURO"/>
      <sheetName val="IT"/>
      <sheetName val="PL"/>
      <sheetName val="TR"/>
      <sheetName val="ROW"/>
      <sheetName val="Vergleich FC=&gt;"/>
      <sheetName val="FC Vert"/>
      <sheetName val="FC JH"/>
      <sheetName val="FC SH"/>
      <sheetName val="APO"/>
      <sheetName val="Vergleich BUD=&gt;"/>
      <sheetName val="Budget"/>
      <sheetName val="FC vs. BU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ta"/>
      <sheetName val="Blad1"/>
      <sheetName val="Omzet BeNe  boekjaar 03 04"/>
      <sheetName val="Total overview"/>
      <sheetName val="12 mth turnover"/>
      <sheetName val="4 mth turnover"/>
      <sheetName val="Tabelle1"/>
      <sheetName val="Bestelling 040609"/>
    </sheetNames>
    <sheetDataSet>
      <sheetData sheetId="0"/>
      <sheetData sheetId="1" refreshError="1"/>
      <sheetData sheetId="2" refreshError="1"/>
      <sheetData sheetId="3"/>
      <sheetData sheetId="4" refreshError="1"/>
      <sheetData sheetId="5"/>
      <sheetData sheetId="6"/>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elle1"/>
      <sheetName val="Tabelle2"/>
      <sheetName val="legend BU HCL UCL"/>
      <sheetName val="Sheet5"/>
      <sheetName val="Lotus_Notes_finished"/>
      <sheetName val="Sheet2"/>
      <sheetName val="Sheet3"/>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structure"/>
      <sheetName val="PM_Artikel__English_"/>
      <sheetName val="PM_Business_Key"/>
      <sheetName val="Marketing_Gruppe_GH_4_2"/>
      <sheetName val="Brand UCL"/>
      <sheetName val="ONR 1XX"/>
      <sheetName val="Stahlgruber"/>
      <sheetName val="Tabelle1"/>
      <sheetName val="1XX"/>
      <sheetName val="Price List"/>
    </sheetNames>
    <sheetDataSet>
      <sheetData sheetId="0" refreshError="1"/>
      <sheetData sheetId="1"/>
      <sheetData sheetId="2"/>
      <sheetData sheetId="3"/>
      <sheetData sheetId="4"/>
      <sheetData sheetId="5" refreshError="1"/>
      <sheetData sheetId="6" refreshError="1"/>
      <sheetData sheetId="7" refreshError="1"/>
      <sheetData sheetId="8" refreshError="1"/>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ce Adjustments SCs"/>
      <sheetName val="Materialstamm 12.09.2017"/>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age Notes"/>
      <sheetName val="SoM_new"/>
      <sheetName val="Template_Market"/>
      <sheetName val="Template_Central"/>
      <sheetName val="Description"/>
      <sheetName val="Template_DE"/>
      <sheetName val="Template_ES"/>
      <sheetName val="Template_BeLux"/>
      <sheetName val="Template_Ro"/>
      <sheetName val="Template_AT"/>
      <sheetName val="Template_FR"/>
      <sheetName val="Template_TR"/>
      <sheetName val="Template_Near_East"/>
      <sheetName val="Template_PL"/>
      <sheetName val="Template_IT"/>
      <sheetName val="Template_FI"/>
      <sheetName val="Template_North_Africa"/>
      <sheetName val="Template_Matador"/>
      <sheetName val="Template_Matador_Russia"/>
      <sheetName val="Template_DK"/>
      <sheetName val="Template_CY_MT"/>
      <sheetName val="Template_NL"/>
      <sheetName val="Template_ZA"/>
      <sheetName val="Template_UK"/>
      <sheetName val="Template_GR"/>
      <sheetName val="Template_CH"/>
      <sheetName val="Template_SE"/>
      <sheetName val="Template_IE"/>
      <sheetName val="Template_HU"/>
      <sheetName val="Template_NO"/>
      <sheetName val="Template_RU"/>
      <sheetName val="Template_UA"/>
      <sheetName val="Template_Sub_Sah_Africa"/>
      <sheetName val="Template_Misc_Eastern_Europe"/>
      <sheetName val="Template_CZ"/>
      <sheetName val="Template_PT"/>
      <sheetName val="Template_SK"/>
      <sheetName val="Template_Baltics"/>
      <sheetName val="Template_Middle_East"/>
      <sheetName val="Template_CU"/>
      <sheetName val="SoM_old"/>
      <sheetName val="Sheet1"/>
      <sheetName val="Sheet2"/>
      <sheetName val="Pivot_Article"/>
      <sheetName val="Pivot_Article (2)"/>
      <sheetName val="Ebit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and Index chart"/>
      <sheetName val="EMEA Brand Index chart"/>
      <sheetName val="EMEA Brand Index chart 385-65"/>
      <sheetName val="Dach Index chart"/>
      <sheetName val="Nordic Index chart"/>
      <sheetName val="South Europe Index chart"/>
      <sheetName val="UK &amp; IRL Index chart"/>
      <sheetName val="Benelux Index chart"/>
      <sheetName val="Turkey Index chart"/>
      <sheetName val=" East Europe Index chart"/>
      <sheetName val="Menena Index chart"/>
      <sheetName val="Chart EMEA Summary Premium"/>
      <sheetName val="Pivot EMEA Summary Premium"/>
      <sheetName val="Chart EMEA Summary Quality"/>
      <sheetName val="Pivot EMEA Summary Quality"/>
      <sheetName val="Chart EMEA Summary Budget"/>
      <sheetName val="Pivot EMEA Summary Budget"/>
      <sheetName val="EMEA summary"/>
      <sheetName val="Chart Dach Summary Premium"/>
      <sheetName val="Pivot Dach Summary Premium"/>
      <sheetName val="Chart Dach Summary Quality"/>
      <sheetName val="Pivot Dach Summary Quality"/>
      <sheetName val="Chart Dach Summary Budget "/>
      <sheetName val="Pivot Dach Summary Budget"/>
      <sheetName val="Dach summary"/>
      <sheetName val="Nordic summary"/>
      <sheetName val="South Europe summary"/>
      <sheetName val="UK &amp; IRL summary"/>
      <sheetName val="Benelux summary"/>
      <sheetName val="Turkey summary"/>
      <sheetName val="East Europe summary"/>
      <sheetName val="Menena summary"/>
      <sheetName val="Germany"/>
      <sheetName val="Austria"/>
      <sheetName val="Switzerland"/>
      <sheetName val="Denmark"/>
      <sheetName val="Norway"/>
      <sheetName val="Sweden"/>
      <sheetName val="France"/>
      <sheetName val="Spain"/>
      <sheetName val="Portugal"/>
      <sheetName val="Italy"/>
      <sheetName val="UK"/>
      <sheetName val="Belgium"/>
      <sheetName val="Greece"/>
      <sheetName val="Cyprus"/>
      <sheetName val="Netherlands"/>
      <sheetName val="Turkey"/>
      <sheetName val="Poland"/>
      <sheetName val="Czech Republic"/>
      <sheetName val="Romania"/>
      <sheetName val="East Europe"/>
      <sheetName val="Hungary"/>
      <sheetName val="Morocco"/>
      <sheetName val="UAE"/>
      <sheetName val="Egypt"/>
      <sheetName val="Algeria"/>
      <sheetName val="KSA"/>
      <sheetName val="IL"/>
      <sheetName val="Russia"/>
      <sheetName val="S Africa"/>
      <sheetName val="Parallel"/>
      <sheetName val="Lookup (Comp Stencil)"/>
      <sheetName val="Response statu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 sheetId="15" refreshError="1"/>
      <sheetData sheetId="16"/>
      <sheetData sheetId="17"/>
      <sheetData sheetId="18" refreshError="1"/>
      <sheetData sheetId="19"/>
      <sheetData sheetId="20" refreshError="1"/>
      <sheetData sheetId="2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5"/>
      <sheetName val="Blad1"/>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1)"/>
      <sheetName val="SUPP_BU_HCL(2)"/>
      <sheetName val="VIEW"/>
      <sheetName val="CUST_GROUP(3)"/>
    </sheetNames>
    <sheetDataSet>
      <sheetData sheetId="0"/>
      <sheetData sheetId="1"/>
      <sheetData sheetId="2" refreshError="1"/>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in Vs GMM Chart"/>
      <sheetName val="Min Vs GMM Chart2"/>
      <sheetName val="Min Vs GMM Data"/>
      <sheetName val="Min Vs GMM Pivot"/>
      <sheetName val="Continental brand Pivot"/>
      <sheetName val="Barum brand Pivot"/>
      <sheetName val="Matador brand Pivot"/>
      <sheetName val="Uniroyal brand Pivot"/>
      <sheetName val="Semperit brand Pivot"/>
      <sheetName val="Product % chart"/>
      <sheetName val="Product % pivot"/>
      <sheetName val="By article Pivot"/>
      <sheetName val="For EPL Calculation Pivot"/>
      <sheetName val="Summary Week"/>
      <sheetName val="Summary Month"/>
      <sheetName val="Küke"/>
      <sheetName val="LIPS"/>
      <sheetName val="LIPS France"/>
      <sheetName val="Forrez BENELUX"/>
      <sheetName val="Andia BENELUX"/>
      <sheetName val="Andia DE"/>
      <sheetName val="Andia Spain"/>
      <sheetName val="Andia France"/>
      <sheetName val="Hämmerling"/>
      <sheetName val="JLTyres"/>
      <sheetName val="Kossens NL"/>
      <sheetName val="Nicoara Weise"/>
      <sheetName val="Reifen Krieg"/>
      <sheetName val="Heuver"/>
      <sheetName val="TC4 France"/>
      <sheetName val="Retread Index Chart"/>
      <sheetName val="Retread Pivot"/>
      <sheetName val="Conti Brands Index Chart"/>
      <sheetName val="Conti Brands Index Pivot"/>
      <sheetName val="Competitor Index Chart"/>
      <sheetName val="Competitor Index Pivot"/>
      <sheetName val="Competitor Price Chart"/>
      <sheetName val="Competitor Price Pivot"/>
      <sheetName val="Summary Competitor (month)"/>
      <sheetName val="Summary Competitor (week)"/>
      <sheetName val="Price Dev. (Week) Chart"/>
      <sheetName val="Price Dev (Week) Pivot"/>
      <sheetName val="Price Dev Co Brands Chart2"/>
      <sheetName val="Price Dev CO Brands Chart"/>
      <sheetName val="Price Dev Co Brands Pivot"/>
      <sheetName val="Price Dev 2 (Month) Chart "/>
      <sheetName val="Price Dev (Month) Chart"/>
      <sheetName val="Price Dev (Month) Pivot"/>
      <sheetName val="Min Max (Month)"/>
      <sheetName val="Min Max (Week)"/>
      <sheetName val="Küke Competitor"/>
      <sheetName val="Lips Competitor"/>
      <sheetName val="Lips FR Competitor"/>
      <sheetName val="Hämmerling Competitor"/>
      <sheetName val="Forrez Benelux Competitor"/>
      <sheetName val="Nicoara DE Competitor"/>
      <sheetName val="Andia DE Competitor"/>
      <sheetName val="Andia BeNeLux Competitor"/>
      <sheetName val="Andia Spain Competitor"/>
      <sheetName val="Andia France Competitor"/>
      <sheetName val="Krieg Competitor"/>
      <sheetName val="JLTyres Competitor"/>
      <sheetName val="Kossen NL Competitor"/>
      <sheetName val="TC4 FR Competitor"/>
      <sheetName val="Heuver Competitor"/>
      <sheetName val="Input summary"/>
      <sheetName val="Lookups"/>
      <sheetName val="Parallel summary chart"/>
      <sheetName val="Chart2"/>
      <sheetName val="Strategic sizes"/>
      <sheetName val="By article"/>
      <sheetName val="By dimension"/>
      <sheetName val="Chart1"/>
    </sheetNames>
    <sheetDataSet>
      <sheetData sheetId="0" refreshError="1"/>
      <sheetData sheetId="1" refreshError="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sheetData sheetId="32" refreshError="1"/>
      <sheetData sheetId="33"/>
      <sheetData sheetId="34" refreshError="1"/>
      <sheetData sheetId="35"/>
      <sheetData sheetId="36" refreshError="1"/>
      <sheetData sheetId="37"/>
      <sheetData sheetId="38"/>
      <sheetData sheetId="39"/>
      <sheetData sheetId="40" refreshError="1"/>
      <sheetData sheetId="41"/>
      <sheetData sheetId="42" refreshError="1"/>
      <sheetData sheetId="43" refreshError="1"/>
      <sheetData sheetId="44"/>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
      <sheetName val="Mi"/>
      <sheetName val="BS"/>
      <sheetName val="GY"/>
      <sheetName val="PI"/>
      <sheetName val="UE"/>
      <sheetName val="SE"/>
      <sheetName val="FS"/>
      <sheetName val="DU"/>
      <sheetName val="HK"/>
      <sheetName val="FU"/>
      <sheetName val="BA"/>
      <sheetName val="MA"/>
      <sheetName val="SA"/>
      <sheetName val="KO"/>
      <sheetName val="Sheet1"/>
      <sheetName val="Summary Pivot"/>
      <sheetName val="Product matrix"/>
      <sheetName val="Input sheet"/>
      <sheetName val="Price Entry sheet"/>
      <sheetName val="Comparison sheet"/>
      <sheetName val="Manf Index"/>
      <sheetName val="Manf Index %"/>
      <sheetName val="Manf price Var €"/>
      <sheetName val="Sheet2"/>
      <sheetName val="Sheet5"/>
      <sheetName val="Michelin"/>
      <sheetName val="Structure check"/>
      <sheetName val="Lookups"/>
      <sheetName val="Lookup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sheetData sheetId="26"/>
      <sheetData sheetId="27"/>
      <sheetData sheetId="28"/>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 Price Dev"/>
      <sheetName val="Price Dev"/>
      <sheetName val="BI Price Dev"/>
      <sheetName val="Parall Price Dev"/>
      <sheetName val="PMR Price Dev"/>
      <sheetName val="Chart2"/>
      <sheetName val="PMR (2)"/>
      <sheetName val="Chart1"/>
      <sheetName val="Summary"/>
      <sheetName val="Parallel"/>
      <sheetName val="BI"/>
      <sheetName val="PMR"/>
      <sheetName val="EP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age Notes"/>
      <sheetName val="Customer terms ALL"/>
      <sheetName val="Customer terms"/>
      <sheetName val="Chart1"/>
      <sheetName val="Policy Price Discount details"/>
      <sheetName val="Price Level comparison (2)"/>
      <sheetName val="Price Level comparison"/>
      <sheetName val="P Levels definition"/>
      <sheetName val="Detail Entry sheet"/>
      <sheetName val="CMC Calculation data"/>
      <sheetName val="CMC Calculation data CBS"/>
      <sheetName val="Sheet3"/>
      <sheetName val="FX rates"/>
      <sheetName val="EPL"/>
      <sheetName val="Lookups"/>
      <sheetName val="Change units calculation table"/>
      <sheetName val="TVC"/>
      <sheetName val="P Level chart"/>
      <sheetName val="Consolidated chart"/>
      <sheetName val="Consilidated chart (2)"/>
      <sheetName val="Sheet1"/>
      <sheetName val="Pivot_Article"/>
      <sheetName val="P0 - SAP (CPL)"/>
      <sheetName val="P1"/>
      <sheetName val="Sheet6"/>
      <sheetName val="Tabelle1"/>
      <sheetName val="Sheet8"/>
      <sheetName val="Chart2"/>
      <sheetName val="Sheet2"/>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sheetData sheetId="21"/>
      <sheetData sheetId="22"/>
      <sheetData sheetId="23"/>
      <sheetData sheetId="24"/>
      <sheetData sheetId="25"/>
      <sheetData sheetId="26"/>
      <sheetData sheetId="27" refreshError="1"/>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fit and loss statement =&gt;"/>
      <sheetName val="Contents"/>
      <sheetName val="Reported master sources =&gt;"/>
      <sheetName val="Group - Reported master"/>
      <sheetName val="Industries - Reported master"/>
      <sheetName val="Airport - Reported master"/>
      <sheetName val="Reported historical trading =&gt;"/>
      <sheetName val="Group =&gt;"/>
      <sheetName val="Group reported P&amp;L overview"/>
      <sheetName val="Group COGS reported"/>
      <sheetName val="Group project costs reported"/>
      <sheetName val="Group OOI-OOE reported"/>
      <sheetName val="Group administration reported"/>
      <sheetName val="Group commercial reported"/>
      <sheetName val="Monthly sales"/>
      <sheetName val="Monthly gross profit"/>
      <sheetName val="Normal. cost allocation (admin)"/>
      <sheetName val="Industries =&gt;"/>
      <sheetName val="Industries PL overview reported"/>
      <sheetName val="Industries COGS repor."/>
      <sheetName val="Industries project costs repor."/>
      <sheetName val="Industries OOI-OOE repor."/>
      <sheetName val="Industries admin repor."/>
      <sheetName val="Industries commercial repor."/>
      <sheetName val="Airport =&gt;"/>
      <sheetName val="Airport PL overview reported"/>
      <sheetName val="Airport COGS reported"/>
      <sheetName val="Airport project costs reported"/>
      <sheetName val="Airport OOI-OOE reported"/>
      <sheetName val="Airport administration reported"/>
      <sheetName val="Airport commercial reported"/>
      <sheetName val="Adjusted master sources =&gt;"/>
      <sheetName val="Group - Adjusted master"/>
      <sheetName val="Industries - Adjusted master"/>
      <sheetName val="Airport - Adjusted master"/>
      <sheetName val="Adjusted historical trading =&gt;"/>
      <sheetName val="Group =&gt; "/>
      <sheetName val="Group adjusted P&amp;L overview"/>
      <sheetName val="Group COGS adjusted"/>
      <sheetName val="Group project costs adjusted"/>
      <sheetName val="Group OOI-OOE adjusted"/>
      <sheetName val="Group administration adjusted"/>
      <sheetName val="Group commercial adjusted"/>
      <sheetName val="Industries =&gt; "/>
      <sheetName val="Industries PL overview adjusted"/>
      <sheetName val="Industries COGS adj."/>
      <sheetName val="Industries project costs adj."/>
      <sheetName val="Industries OOI-OOE adj."/>
      <sheetName val="Industries admin adj."/>
      <sheetName val="Industries commercial adj."/>
      <sheetName val="Industries QoE"/>
      <sheetName val="Airport =&gt; "/>
      <sheetName val="Airport PL overview adjusted"/>
      <sheetName val="Airport COGS adjusted"/>
      <sheetName val="Airport project costs adjusted"/>
      <sheetName val="Airport OOI-OOE adjusted"/>
      <sheetName val="Airport administration adjusted"/>
      <sheetName val="Airport commercial adjusted"/>
      <sheetName val="Airport QoE"/>
      <sheetName val="Business case =&gt;"/>
      <sheetName val="Group BC overview reported"/>
      <sheetName val="Industries BC overview reported"/>
      <sheetName val="Airport BC overview reported"/>
      <sheetName val="Group BC overview adjusted"/>
      <sheetName val="Industries BC PL overview adj."/>
      <sheetName val="Industries BC COGS adj."/>
      <sheetName val="Industries BC project exp. adj."/>
      <sheetName val="Industries BC admin exp. adj."/>
      <sheetName val="Industries BC commer. exp. adj."/>
      <sheetName val="Industries QoE Business case"/>
      <sheetName val="Industries sales growth"/>
      <sheetName val="Industries sales development BC"/>
      <sheetName val="Business case exec sum"/>
      <sheetName val="Airport BC PL overview adj."/>
      <sheetName val="Airport BC COGS adj."/>
      <sheetName val="Airport BC project exp. adj."/>
      <sheetName val="Airport BC admin exp. adj."/>
      <sheetName val="Airport BC commer. exp. adj."/>
      <sheetName val="Airport QoE Business case"/>
      <sheetName val="Airport sales development"/>
      <sheetName val="Group QoE schedule FY1516B"/>
      <sheetName val="Group QoE schedule FY1617P"/>
      <sheetName val="Group QoE schedule FY1718P"/>
      <sheetName val="Group QoE schedule FY1819P"/>
      <sheetName val="Group QoE schedule FY1920P"/>
      <sheetName val="Group QoE schedule FY2021P"/>
      <sheetName val="Industries QoE schedule FY1516B"/>
      <sheetName val="Industries QoE schedule FY1617P"/>
      <sheetName val="Industries QoE schedule FY1718P"/>
      <sheetName val="Industries QoE schedule FY1819P"/>
      <sheetName val="Industries QoE schedule FY1920P"/>
      <sheetName val="Industries QoE schedule FY2021P"/>
      <sheetName val="Airport QoE schedule FY1516B"/>
      <sheetName val="Airport QoE schedule FY1617P"/>
      <sheetName val="Airport QoE schedule FY1718P"/>
      <sheetName val="Airport QoE schedule FY1819P"/>
      <sheetName val="Airport QoE schedule FY1920P"/>
      <sheetName val="Airport QoE schedule FY2021P"/>
      <sheetName val="Group cons BC FY1516B"/>
      <sheetName val="Group cons BC FY1617P"/>
      <sheetName val="Group cons BC FY1718P"/>
      <sheetName val="Group cons BC FY1819P"/>
      <sheetName val="Group cons BC FY1920P"/>
      <sheetName val="Group cons BC FY2021P"/>
      <sheetName val="QoE schedules =&gt;"/>
      <sheetName val="Group QoE schedule FY14-15"/>
      <sheetName val="Group QoE schedule FY13-14"/>
      <sheetName val="Group QoE schedule FY12-13"/>
      <sheetName val="Group QoE schedule FY11-12"/>
      <sheetName val="Group QoE schedule FY10-11"/>
      <sheetName val="Industries QoE schedule FY14-15"/>
      <sheetName val="Industries QoE schedule FY13-14"/>
      <sheetName val="Industries QoE schedule FY12-13"/>
      <sheetName val="Industries QoE schedule FY11-12"/>
      <sheetName val="Industries QoE schedule FY10-11"/>
      <sheetName val="Airport QoE schedule FY14-15"/>
      <sheetName val="Airport QoE schedule FY13-14"/>
      <sheetName val="Airport QoE schedule FY12-13"/>
      <sheetName val="Airport QoE schedule FY11-12"/>
      <sheetName val="Airport QoE schedule FY10-11"/>
      <sheetName val="Reconciliations =&gt;"/>
      <sheetName val="Group cons FY14-15"/>
      <sheetName val="Group cons FY13-14"/>
      <sheetName val="Group cons FY12-13"/>
      <sheetName val="Group cons FY11-12"/>
      <sheetName val="Group cons FY10-11"/>
      <sheetName val="Industr. cons FY14-15"/>
      <sheetName val="Industr. cons FY13-14"/>
      <sheetName val="Industr. cons FY12-13"/>
      <sheetName val="Industr. cons FY11-12"/>
      <sheetName val="Industr. cons FY10-11"/>
      <sheetName val="Airport cons FY14-15"/>
      <sheetName val="Airport cons FY13-14"/>
      <sheetName val="Airport cons FY12-13"/>
      <sheetName val="Airport cons FY11-12"/>
      <sheetName val="Airport cons FY10-11"/>
      <sheetName val="Other =&gt;"/>
      <sheetName val="Capitalised develop. exp. histo"/>
      <sheetName val="Capitalised develop. D&amp;A histo"/>
      <sheetName val="D&amp;D business case"/>
      <sheetName val="Capitalised develop. exp. BC"/>
      <sheetName val="Capitalised develop. D&amp;A BC"/>
      <sheetName val="PF capitalised assets BC"/>
      <sheetName val="Developm. admin cost allocation"/>
      <sheetName val="Group - LT sales"/>
      <sheetName val="P&amp;L development exec sum"/>
      <sheetName val="QoE exec sum"/>
      <sheetName val="Sources =&gt;"/>
      <sheetName val="BC D&amp;D"/>
      <sheetName val="FY0910 D&amp;D expenses"/>
      <sheetName val="Industries recon. master"/>
      <sheetName val="Airport recon. master"/>
      <sheetName val="14-15 AIRPORT "/>
      <sheetName val="13-14 AIRPORT"/>
      <sheetName val="12-13 AIRPORT"/>
      <sheetName val="11-12 AIRPORT"/>
      <sheetName val="10-11 Airport"/>
      <sheetName val="BD IN nach Konso 14-15"/>
      <sheetName val="BD IN nach Konso 13-14"/>
      <sheetName val="BD IN nach Konso 12-13"/>
      <sheetName val="BD IN nach Konso 11-12"/>
      <sheetName val="BD IN nach Konso 10-11"/>
      <sheetName val="10-11 bis 13-14 Jahreswerte"/>
      <sheetName val="People counter 201415"/>
      <sheetName val="13-14 Monatsscheiben"/>
      <sheetName val="1000HKG FY13-14"/>
      <sheetName val="1061HLF FY13-14"/>
      <sheetName val="1353Bekto FY13-14"/>
      <sheetName val="1376Induperm FY13-14"/>
      <sheetName val="1000HKG FY12"/>
      <sheetName val="1061HLF FY12"/>
      <sheetName val="1353Bekto FY12"/>
      <sheetName val="1376Induperm FY12"/>
      <sheetName val="1000HKG FY10-11"/>
      <sheetName val="1061HLF FY10-11"/>
      <sheetName val="1353Bekto FY10-11"/>
      <sheetName val="1376Induperm FY10-11"/>
      <sheetName val="PCA_NA_IN"/>
      <sheetName val="Übersicht Sekundärkosten"/>
      <sheetName val="Database secondary cost alloc."/>
      <sheetName val="Source secondary cost alloc (2"/>
      <sheetName val="DATABASE Sekundärkosten"/>
      <sheetName val="Cost allocation (admin)"/>
      <sheetName val="Sekundärverrechnung Verwaltung"/>
      <sheetName val="Overview secondary cost alloc."/>
      <sheetName val="Cost allocation admin"/>
      <sheetName val="Consolidation cost allocation"/>
      <sheetName val="Airport Growth (2)"/>
      <sheetName val="Sekundärkosten Update Airport"/>
      <sheetName val="Set-up"/>
      <sheetName val="Cost allocation (admin)_normali"/>
      <sheetName val="Scrap FY1415"/>
      <sheetName val="SbA Normalisierung EWB_PWB"/>
      <sheetName val="Übersicht Entwicklungskosten"/>
      <sheetName val="Flächenkosten COGS"/>
      <sheetName val="IND rest Growth"/>
      <sheetName val="Airport Growth"/>
      <sheetName val="Secondary cost allocation"/>
      <sheetName val="Cost allocation (admin) "/>
      <sheetName val="Übersicht Sondereffekte"/>
      <sheetName val="OEM"/>
      <sheetName val="Pivot update"/>
      <sheetName val="OEM sales"/>
      <sheetName val="OEM sales &amp; G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Summary"/>
      <sheetName val="Herbert's Pivot"/>
      <sheetName val="All_Markets"/>
      <sheetName val="Pivot"/>
      <sheetName val="Ebit pivot"/>
      <sheetName val="Pivot_Article"/>
      <sheetName val="PGR12_REP"/>
      <sheetName val="Price_Assumptions"/>
      <sheetName val="Pivot_Forecast"/>
      <sheetName val="Currency_selection"/>
      <sheetName val="Pivot_Formulas"/>
      <sheetName val="Pivot_Article_Formulas"/>
      <sheetName val="Kompas_Currency_Origin_Check"/>
      <sheetName val="Lookup"/>
      <sheetName val="Seasonal_Curve"/>
      <sheetName val="Data_structure"/>
      <sheetName val="Update_Procedure"/>
      <sheetName val="Macro1"/>
      <sheetName val="Article.Artic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DATEN"/>
      <sheetName val="DATEN1"/>
      <sheetName val="DATEN2"/>
      <sheetName val="UPDATE"/>
      <sheetName val="TABELLEN"/>
      <sheetName val="GH_CONSO"/>
      <sheetName val="GH_CONSO_MATRIX"/>
      <sheetName val="PLANVORGABEN"/>
      <sheetName val="GH_CONSO_HISTORY"/>
      <sheetName val="SALESUNIT_CONSO"/>
      <sheetName val="PC_CONSO"/>
      <sheetName val="THERMO_CONSO"/>
      <sheetName val="BRAN_CONSO"/>
      <sheetName val="BHS_CONSO"/>
      <sheetName val="GHSP_CONSO"/>
      <sheetName val="VMHM_CONSO"/>
      <sheetName val="GHOE_CONSO"/>
      <sheetName val="BU_HCL_GH_CONSO"/>
      <sheetName val="GH_CONSO(1)"/>
      <sheetName val="BU_HCL_SC"/>
      <sheetName val="HIGHLIGHTS"/>
      <sheetName val="Tabelle1"/>
      <sheetName val="GHREPORT"/>
      <sheetName val="GHE_CONSO"/>
      <sheetName val="GHOEGHS_CONSO"/>
      <sheetName val="GHOES_CONSO"/>
      <sheetName val="GH_HKG"/>
      <sheetName val="VMH1_HKG"/>
      <sheetName val="VMH12_HKG"/>
      <sheetName val="VMH16_HKG"/>
      <sheetName val="VMH2_HKG"/>
      <sheetName val="VMH23_HKG"/>
      <sheetName val="OES_HKG"/>
      <sheetName val="GHR_HKG"/>
      <sheetName val="GHOEGHS_HKG"/>
      <sheetName val="GHE_HKG"/>
      <sheetName val="ART_GP_NEG"/>
      <sheetName val="OES_KA_CONSO"/>
      <sheetName val="GH_HKG(1)"/>
      <sheetName val="VTR_L1"/>
      <sheetName val="VTR_L2"/>
      <sheetName val="LANDGRUPPE"/>
      <sheetName val="LAND"/>
      <sheetName val="BU_HKG"/>
      <sheetName val="HCL_HKG"/>
      <sheetName val="COMPANIES_KF"/>
      <sheetName val="COMPANIES"/>
      <sheetName val="TOP_FAM"/>
      <sheetName val="COMPANY"/>
      <sheetName val="STAFF"/>
      <sheetName val="ORDERFILL"/>
      <sheetName val="CUST_GROUP"/>
      <sheetName val="START_LIGHT"/>
      <sheetName val="SALESUNIT_CONSO_NEW"/>
      <sheetName val="PRODDIV_CONSO"/>
      <sheetName val="VG4_CONSO"/>
      <sheetName val="PRODCOM_CONSO"/>
      <sheetName val="VG31_HKG"/>
      <sheetName val="VG2_HKG"/>
      <sheetName val="VG21_HKG"/>
      <sheetName val="VG22_HKG"/>
      <sheetName val="VG23_HKG"/>
      <sheetName val="VG3_HKG"/>
      <sheetName val="GH_OES"/>
      <sheetName val="GHLGHS_HKG"/>
      <sheetName val="VG4_HKG"/>
      <sheetName val="VTWEG"/>
      <sheetName val="VKBUR"/>
      <sheetName val="HCL_VKBUR"/>
      <sheetName val="BU_VKBUR"/>
      <sheetName val="MATRIX_ORG"/>
      <sheetName val="MATRIX_SC"/>
      <sheetName val="MATRIX"/>
      <sheetName val="MATRIX_CONSO"/>
      <sheetName val="TOTAL_HKG"/>
      <sheetName val="MATRIX_HK_GP"/>
      <sheetName val="VMH2+3_HKG"/>
      <sheetName val="VMH32_HKG"/>
      <sheetName val="VMH33_HKG"/>
      <sheetName val="VMH4+5_HKG"/>
      <sheetName val="GH_HKG_ÜF"/>
      <sheetName val="DATA_1"/>
      <sheetName val="CRM Customer"/>
      <sheetName val="SALESORG_NEU"/>
      <sheetName val="TGR+BRAN4_NEU"/>
      <sheetName val="PD+BU+HCL_NEU"/>
      <sheetName val="MATRIX_NEU"/>
      <sheetName val="SALESORG_PRICE"/>
      <sheetName val="MONTHLY_C_NEU"/>
      <sheetName val="MONTHLY_NEU"/>
      <sheetName val="SALESORG_NAGELNE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H_KER_PLAN_00"/>
      <sheetName val="GH_INV_PLAN_00"/>
      <sheetName val="Tabelle2 (2)"/>
      <sheetName val="Tabelle2"/>
      <sheetName val="GH_KER_PLAN_99"/>
      <sheetName val="KER_PLAN"/>
      <sheetName val="KER_IST"/>
      <sheetName val="GH_KER_IST_M"/>
      <sheetName val="GH_KER_IST"/>
      <sheetName val="Tabelle1"/>
      <sheetName val="KE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ta"/>
      <sheetName val="Blad1"/>
      <sheetName val="Omzet BeNe  boekjaar 03 04"/>
      <sheetName val="Total overview"/>
      <sheetName val="12 mth turnover"/>
      <sheetName val="4 mth turnover"/>
      <sheetName val="Tabelle1"/>
      <sheetName val="Bestelling 040609"/>
    </sheetNames>
    <sheetDataSet>
      <sheetData sheetId="0"/>
      <sheetData sheetId="1" refreshError="1"/>
      <sheetData sheetId="2" refreshError="1"/>
      <sheetData sheetId="3"/>
      <sheetData sheetId="4" refreshError="1"/>
      <sheetData sheetId="5"/>
      <sheetData sheetId="6"/>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36099-BACF-4369-8613-BA3912E91E44}">
  <dimension ref="A1:D11"/>
  <sheetViews>
    <sheetView showGridLines="0" tabSelected="1" zoomScale="130" zoomScaleNormal="130" workbookViewId="0"/>
  </sheetViews>
  <sheetFormatPr defaultColWidth="8.7109375" defaultRowHeight="12.6"/>
  <cols>
    <col min="1" max="1" width="1.42578125" style="64" bestFit="1" customWidth="1"/>
    <col min="2" max="2" width="14.140625" style="64" bestFit="1" customWidth="1"/>
    <col min="3" max="3" width="47.85546875" style="64" bestFit="1" customWidth="1"/>
    <col min="4" max="4" width="57.5703125" style="64" bestFit="1" customWidth="1"/>
    <col min="5" max="16384" width="8.7109375" style="64"/>
  </cols>
  <sheetData>
    <row r="1" spans="1:4">
      <c r="A1" s="64" t="s">
        <v>0</v>
      </c>
    </row>
    <row r="2" spans="1:4">
      <c r="C2" s="65" t="s">
        <v>1</v>
      </c>
      <c r="D2" s="65" t="s">
        <v>2</v>
      </c>
    </row>
    <row r="3" spans="1:4">
      <c r="B3" s="66" t="s">
        <v>3</v>
      </c>
      <c r="C3" s="66" t="s">
        <v>4</v>
      </c>
      <c r="D3" s="66" t="s">
        <v>5</v>
      </c>
    </row>
    <row r="4" spans="1:4">
      <c r="B4" s="66" t="s">
        <v>6</v>
      </c>
      <c r="C4" s="65" t="s">
        <v>7</v>
      </c>
      <c r="D4" s="65" t="s">
        <v>8</v>
      </c>
    </row>
    <row r="5" spans="1:4">
      <c r="B5" s="66" t="s">
        <v>9</v>
      </c>
      <c r="C5" s="66" t="s">
        <v>10</v>
      </c>
      <c r="D5" s="66" t="s">
        <v>11</v>
      </c>
    </row>
    <row r="6" spans="1:4">
      <c r="B6" s="66" t="s">
        <v>12</v>
      </c>
      <c r="C6" s="66" t="s">
        <v>13</v>
      </c>
      <c r="D6" s="66" t="s">
        <v>14</v>
      </c>
    </row>
    <row r="7" spans="1:4">
      <c r="B7" s="66" t="s">
        <v>15</v>
      </c>
      <c r="C7" s="66" t="s">
        <v>16</v>
      </c>
      <c r="D7" s="66" t="s">
        <v>17</v>
      </c>
    </row>
    <row r="8" spans="1:4">
      <c r="B8" s="66" t="s">
        <v>18</v>
      </c>
      <c r="C8" s="66" t="s">
        <v>19</v>
      </c>
      <c r="D8" s="66" t="s">
        <v>20</v>
      </c>
    </row>
    <row r="9" spans="1:4">
      <c r="B9" s="66" t="s">
        <v>21</v>
      </c>
      <c r="C9" s="66" t="s">
        <v>22</v>
      </c>
      <c r="D9" s="66" t="s">
        <v>23</v>
      </c>
    </row>
    <row r="10" spans="1:4">
      <c r="B10" s="66" t="s">
        <v>24</v>
      </c>
      <c r="C10" s="66" t="s">
        <v>25</v>
      </c>
      <c r="D10" s="66" t="s">
        <v>26</v>
      </c>
    </row>
    <row r="11" spans="1:4">
      <c r="B11" s="66" t="s">
        <v>27</v>
      </c>
      <c r="C11" s="66" t="s">
        <v>28</v>
      </c>
      <c r="D11" s="66" t="s">
        <v>29</v>
      </c>
    </row>
  </sheetData>
  <sheetProtection algorithmName="SHA-512" hashValue="AoZ104T3wsuLbEgZLhevNMwtSorsorRRfW1NLrRYw4iUo+rQ85jRn7SBtMwfKZ48p/HM+a2UCmDG5uPaM9wIuQ==" saltValue="eXxz0/bP/zPT/NK4wDeJAw==" spinCount="100000" sheet="1" objects="1" scenarios="1"/>
  <phoneticPr fontId="59" type="noConversion"/>
  <pageMargins left="0.7" right="0.7" top="0.75" bottom="0.75" header="0.3" footer="0.3"/>
  <pageSetup paperSize="9" orientation="portrait" r:id="rId1"/>
  <headerFooter>
    <oddHeader>&amp;R&amp;"Arial"&amp;9&amp;K737373Information Classification: 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E157A-0CE5-4F87-BAD2-51D1A8F571B0}">
  <sheetPr>
    <pageSetUpPr fitToPage="1"/>
  </sheetPr>
  <dimension ref="B1:O109"/>
  <sheetViews>
    <sheetView showGridLines="0" zoomScale="55" zoomScaleNormal="55" workbookViewId="0">
      <pane xSplit="2" ySplit="4" topLeftCell="C5" activePane="bottomRight" state="frozen"/>
      <selection pane="bottomRight" activeCell="C5" sqref="C5"/>
      <selection pane="bottomLeft" activeCell="C6" sqref="C6"/>
      <selection pane="topRight" activeCell="C6" sqref="C6"/>
    </sheetView>
  </sheetViews>
  <sheetFormatPr defaultColWidth="17.42578125" defaultRowHeight="12.6"/>
  <cols>
    <col min="1" max="1" width="2" style="16" customWidth="1"/>
    <col min="2" max="2" width="20.5703125" style="16" customWidth="1"/>
    <col min="3" max="3" width="80.5703125" style="16" customWidth="1"/>
    <col min="4" max="4" width="20.5703125" style="16" customWidth="1"/>
    <col min="5" max="5" width="5.5703125" style="16" customWidth="1"/>
    <col min="6" max="6" width="146.42578125" style="16" customWidth="1"/>
    <col min="7" max="7" width="80.5703125" style="70" customWidth="1"/>
    <col min="8" max="13" width="17.42578125" style="19" customWidth="1"/>
    <col min="14" max="15" width="17.42578125" style="19"/>
    <col min="16" max="16384" width="17.42578125" style="16"/>
  </cols>
  <sheetData>
    <row r="1" spans="2:15" s="17" customFormat="1" ht="12.95">
      <c r="C1" s="17" t="s">
        <v>30</v>
      </c>
      <c r="D1" s="18" t="s">
        <v>31</v>
      </c>
      <c r="E1" s="53"/>
      <c r="F1" s="2" t="str">
        <f>IF(IF(E1="x",1,0)+IF(E2="x",1,0)&lt;1,"Vul een 'x' in bij de gewenste taal / Entrez un 'x' pour la langue souhaitée",IF(IF(E1="x",1,0)+IF(E2="x",1,0)&gt;1,"Kies maar één taal: zet een 'x' bij de gewenste taal / Choisissez une seule langue : entrez un 'x' pour la langue souhaitée",""))</f>
        <v>Vul een 'x' in bij de gewenste taal / Entrez un 'x' pour la langue souhaitée</v>
      </c>
      <c r="H1" s="21" t="str">
        <f>IF(IF(E1="x",1,0)+IF(E2="x",1,0)&lt;1,"FOUT",IF(IF(E1="x",1,0)+IF(E2="x",1,0)&gt;1,"FOUT",IF(E1="x","NL",IF(E2="x","FR",""))))</f>
        <v>FOUT</v>
      </c>
      <c r="I1" s="21"/>
      <c r="J1" s="21"/>
      <c r="K1" s="21"/>
      <c r="L1" s="21"/>
      <c r="M1" s="21"/>
      <c r="N1" s="21"/>
      <c r="O1" s="21"/>
    </row>
    <row r="2" spans="2:15" s="17" customFormat="1" ht="12.95">
      <c r="D2" s="18" t="s">
        <v>32</v>
      </c>
      <c r="E2" s="53"/>
      <c r="F2" s="2"/>
      <c r="H2" s="21"/>
      <c r="I2" s="21"/>
      <c r="J2" s="21"/>
      <c r="K2" s="21"/>
      <c r="L2" s="21"/>
      <c r="M2" s="21"/>
      <c r="N2" s="21"/>
      <c r="O2" s="21"/>
    </row>
    <row r="3" spans="2:15" s="17" customFormat="1" ht="12.95">
      <c r="G3" s="54"/>
      <c r="H3" s="21"/>
      <c r="I3" s="21"/>
      <c r="J3" s="21"/>
      <c r="K3" s="21"/>
      <c r="L3" s="21"/>
      <c r="M3" s="21"/>
      <c r="N3" s="21"/>
      <c r="O3" s="21"/>
    </row>
    <row r="4" spans="2:15" s="17" customFormat="1" ht="12.95">
      <c r="B4" s="62" t="str">
        <f>IF($H$1="NL","Artikelnummer",IF($H$1="FR","Numéro d’article",IF(IF(E1="x",1,0)+IF(E2="x",1,0)&lt;1,"Vul een 'x' in bij de gewenste taal / Entrez un 'x' pour la langue souhaitée",IF(IF(E1="x",1,0)+IF(E2="x",1,0)&gt;1,"Kies maar één taal: zet een 'x' bij de gewenste taal / Choisissez une seule langue : entrez un 'x' pour la langue souhaitée",""))))</f>
        <v>Vul een 'x' in bij de gewenste taal / Entrez un 'x' pour la langue souhaitée</v>
      </c>
      <c r="C4" s="62" t="str">
        <f>IF($H$1="NL",K4,IF($H$1="FR",L4,IF(IF(E1="x",1,0)+IF(E2="x",1,0)&lt;1,"Vul een 'x' in bij de gewenste taal / Entrez un 'x' pour la langue souhaitée",IF(IF(E1="x",1,0)+IF(E2="x",1,0)&gt;1,"Kies maar één taal: zet een 'x' bij de gewenste taal / Choisissez une seule langue : entrez un 'x' pour la langue souhaitée",""))))</f>
        <v>Vul een 'x' in bij de gewenste taal / Entrez un 'x' pour la langue souhaitée</v>
      </c>
      <c r="D4" s="62" t="str">
        <f>IF($H$1="NL","Vul het gewenste aantal in de gele cellen in",IF($H$1="FR","Entrez le nombre souhaité dans les cellules jaunes",IF(IF(E1="x",1,0)+IF(E2="x",1,0)&lt;1,"Vul een 'x' in bij de gewenste taal / Entrez un 'x' pour la langue souhaitée",IF(IF(E1="x",1,0)+IF(E2="x",1,0)&gt;1,"Kies maar één taal: zet een 'x' bij de gewenste taal / Choisissez une seule langue : entrez un 'x' pour la langue souhaitée",""))))</f>
        <v>Vul een 'x' in bij de gewenste taal / Entrez un 'x' pour la langue souhaitée</v>
      </c>
      <c r="E4" s="11" t="str">
        <f>IF($H$1="NL","Opmerking",IF($H$1="FR","Remarque",IF(IF(E1="x",1,0)+IF(E2="x",1,0)&lt;1,"Vul een 'x' in bij de gewenste taal / Entrez un 'x' pour la langue souhaitée",IF(IF(E1="x",1,0)+IF(E2="x",1,0)&gt;1,"Kies maar één taal: zet een 'x' bij de gewenste taal / Choisissez une seule langue : entrez un 'x' pour la langue souhaitée",""))))</f>
        <v>Vul een 'x' in bij de gewenste taal / Entrez un 'x' pour la langue souhaitée</v>
      </c>
      <c r="F4" s="13"/>
      <c r="G4" s="55" t="str">
        <f>IF($H$1="NL","Verkoopprijs",IF($H$1="FR","Prix de vente",IF(IF(E1="x",1,0)+IF(E2="x",1,0)&lt;1,"Vul een 'x' in bij de gewenste taal / Entrez un 'x' pour la langue souhaitée",IF(IF(E1="x",1,0)+IF(E2="x",1,0)&gt;1,"Kies maar één taal: zet een 'x' bij de gewenste taal / Choisissez une seule langue : entrez un 'x' pour la langue souhaitée",""))))</f>
        <v>Vul een 'x' in bij de gewenste taal / Entrez un 'x' pour la langue souhaitée</v>
      </c>
      <c r="H4" s="21" t="s">
        <v>33</v>
      </c>
      <c r="I4" s="21" t="s">
        <v>34</v>
      </c>
      <c r="J4" s="21"/>
      <c r="K4" s="21" t="s">
        <v>35</v>
      </c>
      <c r="L4" s="21" t="s">
        <v>36</v>
      </c>
      <c r="M4" s="21"/>
      <c r="N4" s="21"/>
      <c r="O4" s="21"/>
    </row>
    <row r="5" spans="2:15">
      <c r="B5" s="20" t="s">
        <v>37</v>
      </c>
      <c r="C5" s="20" t="str">
        <f t="shared" ref="C5:C24" si="0">IF($H$1="NL",K5,IF($H$1="FR",L5,"Vul een 'x' in bij de gewenste taal / Entrez un 'x' pour la langue souhaitée"))</f>
        <v>Vul een 'x' in bij de gewenste taal / Entrez un 'x' pour la langue souhaitée</v>
      </c>
      <c r="D5" s="68"/>
      <c r="E5" s="14" t="str">
        <f>IF(D5="x","Fout, vul een aantal in / Erreur, remplissez un montant","")</f>
        <v/>
      </c>
      <c r="F5" s="14"/>
      <c r="G5" s="69" t="str">
        <f>IF($D5="","",D5*H5)</f>
        <v/>
      </c>
      <c r="H5" s="19">
        <v>2490</v>
      </c>
      <c r="K5" s="19" t="s">
        <v>38</v>
      </c>
      <c r="L5" s="19" t="s">
        <v>38</v>
      </c>
    </row>
    <row r="6" spans="2:15">
      <c r="B6" s="20" t="s">
        <v>39</v>
      </c>
      <c r="C6" s="20" t="str">
        <f t="shared" si="0"/>
        <v>Vul een 'x' in bij de gewenste taal / Entrez un 'x' pour la langue souhaitée</v>
      </c>
      <c r="D6" s="68"/>
      <c r="E6" s="14" t="str">
        <f>IF(D6="x","Fout, vul een aantal in / Erreur, remplissez un montant","")</f>
        <v/>
      </c>
      <c r="F6" s="14"/>
      <c r="G6" s="69" t="str">
        <f>IF($D6="","",D6*H6)</f>
        <v/>
      </c>
      <c r="H6" s="19">
        <v>1490</v>
      </c>
      <c r="K6" s="19" t="s">
        <v>40</v>
      </c>
      <c r="L6" s="19" t="s">
        <v>41</v>
      </c>
    </row>
    <row r="7" spans="2:15">
      <c r="B7" s="20" t="s">
        <v>42</v>
      </c>
      <c r="C7" s="20" t="str">
        <f t="shared" si="0"/>
        <v>Vul een 'x' in bij de gewenste taal / Entrez un 'x' pour la langue souhaitée</v>
      </c>
      <c r="D7" s="20" t="str">
        <f>IF(D6="","",D6)</f>
        <v/>
      </c>
      <c r="E7" s="14"/>
      <c r="F7" s="14"/>
      <c r="G7" s="69" t="str">
        <f>IF($D7="","",D7*H7)</f>
        <v/>
      </c>
      <c r="H7" s="19">
        <v>0</v>
      </c>
      <c r="K7" s="19" t="s">
        <v>43</v>
      </c>
      <c r="L7" s="19" t="s">
        <v>44</v>
      </c>
    </row>
    <row r="8" spans="2:15">
      <c r="B8" s="20" t="s">
        <v>45</v>
      </c>
      <c r="C8" s="20" t="str">
        <f t="shared" si="0"/>
        <v>Vul een 'x' in bij de gewenste taal / Entrez un 'x' pour la langue souhaitée</v>
      </c>
      <c r="D8" s="68"/>
      <c r="E8" s="14" t="str">
        <f>IF(D8="x","Fout, vul een aantal in / Erreur, remplissez un montant",IF(D9="x","Fout, vul een aantal in / Erreur, remplissez un montant",IF(D10="x","Fout, vul een aantal in / Erreur, remplissez un montant",IF(D11="x","Fout, vul een aantal in / Erreur, remplissez un montant",IF($H$1="NL",IF(SUM(D8:D11)&gt;D5,"Aantal basissoftware mega macs X te hoog, kies gelijk aan het aantal mega macs X testers",IF(SUM(D8:D11)&lt;D5,"Aantal basissoftware mega macs X te laag kies gelijk aan het aantal mega macs X testers","")),IF($H$1="FR",IF(SUM(D8:D11)&gt;D5,"Nombre de méga macs de logiciels de base X trop élevé, choisissez égal au nombre de méga macs X testeurs",IF(SUM(D8:D11)&lt;D5,"Nombre de méga macs de logiciels de base X trop faible choisir égal au nombre de méga macs X testeurs","")),"Vul een 'x' in bij de gewenste taal / Entrez un 'x' pour la langue souhaitée"))))))</f>
        <v>Vul een 'x' in bij de gewenste taal / Entrez un 'x' pour la langue souhaitée</v>
      </c>
      <c r="F8" s="14"/>
      <c r="G8" s="69" t="str">
        <f>IF($H$1="NL",IF(SUM($D$8:$D$11)=$D$5,IF($D8="","",D8*H8),"Fout, vul gele cellen correct in"),IF($H$1="FR",IF(SUM($D$8:$D$11)=$D$5,IF($D8="","",D8*H8),"Erreur, remplissez correctement les cellules jaunes"),"Vul een 'x' in bij de gewenste taal / Entrez un 'x' pour la langue souhaitée"))</f>
        <v>Vul een 'x' in bij de gewenste taal / Entrez un 'x' pour la langue souhaitée</v>
      </c>
      <c r="H8" s="19">
        <v>500</v>
      </c>
      <c r="K8" s="19" t="s">
        <v>46</v>
      </c>
      <c r="L8" s="19" t="s">
        <v>47</v>
      </c>
    </row>
    <row r="9" spans="2:15">
      <c r="B9" s="20" t="s">
        <v>48</v>
      </c>
      <c r="C9" s="20" t="str">
        <f t="shared" si="0"/>
        <v>Vul een 'x' in bij de gewenste taal / Entrez un 'x' pour la langue souhaitée</v>
      </c>
      <c r="D9" s="68"/>
      <c r="E9" s="14"/>
      <c r="F9" s="14"/>
      <c r="G9" s="69" t="str">
        <f>IF($H$1="NL",IF(SUM($D$8:$D$11)=$D$5,IF($D9="","",D9*H9),"Fout, vul gele cellen correct in"),IF($H$1="FR",IF(SUM($D$8:$D$11)=$D$5,IF($D9="","",D9*H9),"Erreur, remplissez correctement les cellules jaunes"),"Vul een 'x' in bij de gewenste taal / Entrez un 'x' pour la langue souhaitée"))</f>
        <v>Vul een 'x' in bij de gewenste taal / Entrez un 'x' pour la langue souhaitée</v>
      </c>
      <c r="H9" s="19">
        <v>1000</v>
      </c>
      <c r="K9" s="19" t="s">
        <v>49</v>
      </c>
      <c r="L9" s="19" t="s">
        <v>50</v>
      </c>
    </row>
    <row r="10" spans="2:15">
      <c r="B10" s="20" t="s">
        <v>51</v>
      </c>
      <c r="C10" s="20" t="str">
        <f t="shared" si="0"/>
        <v>Vul een 'x' in bij de gewenste taal / Entrez un 'x' pour la langue souhaitée</v>
      </c>
      <c r="D10" s="68"/>
      <c r="E10" s="14"/>
      <c r="F10" s="14"/>
      <c r="G10" s="69" t="str">
        <f>IF($H$1="NL",IF(SUM($D$8:$D$11)=$D$5,IF($D10="","",D10*H10),"Fout, vul gele cellen correct in"),IF($H$1="FR",IF(SUM($D$8:$D$11)=$D$5,IF($D10="","",D10*H10),"Erreur, remplissez correctement les cellules jaunes"),"Vul een 'x' in bij de gewenste taal / Entrez un 'x' pour la langue souhaitée"))</f>
        <v>Vul een 'x' in bij de gewenste taal / Entrez un 'x' pour la langue souhaitée</v>
      </c>
      <c r="H10" s="19">
        <v>1500</v>
      </c>
      <c r="K10" s="19" t="s">
        <v>52</v>
      </c>
      <c r="L10" s="19" t="s">
        <v>53</v>
      </c>
    </row>
    <row r="11" spans="2:15">
      <c r="B11" s="20" t="s">
        <v>54</v>
      </c>
      <c r="C11" s="20" t="str">
        <f t="shared" si="0"/>
        <v>Vul een 'x' in bij de gewenste taal / Entrez un 'x' pour la langue souhaitée</v>
      </c>
      <c r="D11" s="68"/>
      <c r="E11" s="14"/>
      <c r="F11" s="14"/>
      <c r="G11" s="69" t="str">
        <f>IF($H$1="NL",IF(SUM($D$8:$D$11)=$D$5,IF($D11="","",D11*H11),"Fout, vul gele cellen correct in"),IF($H$1="FR",IF(SUM($D$8:$D$11)=$D$5,IF($D11="","",D11*H11),"Erreur, remplissez correctement les cellules jaunes"),"Vul een 'x' in bij de gewenste taal / Entrez un 'x' pour la langue souhaitée"))</f>
        <v>Vul een 'x' in bij de gewenste taal / Entrez un 'x' pour la langue souhaitée</v>
      </c>
      <c r="H11" s="19">
        <v>2500</v>
      </c>
      <c r="K11" s="19" t="s">
        <v>55</v>
      </c>
      <c r="L11" s="19" t="s">
        <v>56</v>
      </c>
    </row>
    <row r="12" spans="2:15">
      <c r="B12" s="20" t="s">
        <v>57</v>
      </c>
      <c r="C12" s="20" t="str">
        <f t="shared" si="0"/>
        <v>Vul een 'x' in bij de gewenste taal / Entrez un 'x' pour la langue souhaitée</v>
      </c>
      <c r="D12" s="20" t="str">
        <f>IF(D5="","",D5)</f>
        <v/>
      </c>
      <c r="E12" s="14" t="str">
        <f>IF(D12="x","Fout, vul een aantal in / Erreur, remplissez un montant","")</f>
        <v/>
      </c>
      <c r="F12" s="14"/>
      <c r="G12" s="69" t="str">
        <f>IF($D12="","",D12*H12)</f>
        <v/>
      </c>
      <c r="H12" s="19">
        <v>0</v>
      </c>
      <c r="K12" s="19" t="s">
        <v>58</v>
      </c>
      <c r="L12" s="19" t="s">
        <v>59</v>
      </c>
    </row>
    <row r="13" spans="2:15">
      <c r="B13" s="20" t="s">
        <v>60</v>
      </c>
      <c r="C13" s="20" t="str">
        <f t="shared" si="0"/>
        <v>Vul een 'x' in bij de gewenste taal / Entrez un 'x' pour la langue souhaitée</v>
      </c>
      <c r="D13" s="20" t="str">
        <f>IF(D8="","",D8)</f>
        <v/>
      </c>
      <c r="E13" s="14" t="str">
        <f>IF(D13="x","Fout, vul een aantal in / Erreur, remplissez un montant","")</f>
        <v/>
      </c>
      <c r="F13" s="14"/>
      <c r="G13" s="69" t="str">
        <f>IF($D13="","",D13*H13)</f>
        <v/>
      </c>
      <c r="H13" s="19">
        <v>0</v>
      </c>
      <c r="I13" s="19">
        <v>0</v>
      </c>
      <c r="J13" s="19">
        <v>749</v>
      </c>
      <c r="K13" s="19" t="s">
        <v>61</v>
      </c>
      <c r="L13" s="19" t="s">
        <v>62</v>
      </c>
    </row>
    <row r="14" spans="2:15">
      <c r="B14" s="20" t="s">
        <v>63</v>
      </c>
      <c r="C14" s="20" t="str">
        <f t="shared" si="0"/>
        <v>Vul een 'x' in bij de gewenste taal / Entrez un 'x' pour la langue souhaitée</v>
      </c>
      <c r="D14" s="20" t="str">
        <f t="shared" ref="D14:D16" si="1">IF(D9="","",D9)</f>
        <v/>
      </c>
      <c r="E14" s="14" t="str">
        <f>IF(D14="x","Fout, vul een aantal in / Erreur, remplissez un montant","")</f>
        <v/>
      </c>
      <c r="F14" s="14"/>
      <c r="G14" s="69" t="str">
        <f>IF($D14="","",D14*H14)</f>
        <v/>
      </c>
      <c r="H14" s="19">
        <v>0</v>
      </c>
      <c r="I14" s="19">
        <v>0</v>
      </c>
      <c r="J14" s="19">
        <v>959</v>
      </c>
      <c r="K14" s="19" t="s">
        <v>64</v>
      </c>
      <c r="L14" s="19" t="s">
        <v>65</v>
      </c>
    </row>
    <row r="15" spans="2:15">
      <c r="B15" s="20" t="s">
        <v>66</v>
      </c>
      <c r="C15" s="20" t="str">
        <f t="shared" si="0"/>
        <v>Vul een 'x' in bij de gewenste taal / Entrez un 'x' pour la langue souhaitée</v>
      </c>
      <c r="D15" s="20" t="str">
        <f t="shared" si="1"/>
        <v/>
      </c>
      <c r="E15" s="14" t="str">
        <f>IF(D15="x","Fout, vul een aantal in / Erreur, remplissez un montant","")</f>
        <v/>
      </c>
      <c r="F15" s="14"/>
      <c r="G15" s="69" t="str">
        <f>IF($D15="","",D15*H15)</f>
        <v/>
      </c>
      <c r="H15" s="19">
        <v>0</v>
      </c>
      <c r="I15" s="19">
        <v>0</v>
      </c>
      <c r="J15" s="19">
        <v>1499</v>
      </c>
      <c r="K15" s="19" t="s">
        <v>67</v>
      </c>
      <c r="L15" s="19" t="s">
        <v>68</v>
      </c>
    </row>
    <row r="16" spans="2:15">
      <c r="B16" s="20" t="s">
        <v>69</v>
      </c>
      <c r="C16" s="20" t="str">
        <f t="shared" si="0"/>
        <v>Vul een 'x' in bij de gewenste taal / Entrez un 'x' pour la langue souhaitée</v>
      </c>
      <c r="D16" s="20" t="str">
        <f t="shared" si="1"/>
        <v/>
      </c>
      <c r="E16" s="14" t="str">
        <f>IF(D16="x","Fout, vul een aantal in / Erreur, remplissez un montant","")</f>
        <v/>
      </c>
      <c r="F16" s="14"/>
      <c r="G16" s="69" t="str">
        <f>IF($D16="","",D16*H16)</f>
        <v/>
      </c>
      <c r="H16" s="19">
        <v>0</v>
      </c>
      <c r="I16" s="19">
        <v>1</v>
      </c>
      <c r="J16" s="19">
        <v>2099</v>
      </c>
      <c r="K16" s="19" t="s">
        <v>70</v>
      </c>
      <c r="L16" s="19" t="s">
        <v>71</v>
      </c>
    </row>
    <row r="17" spans="2:12">
      <c r="B17" s="20" t="s">
        <v>72</v>
      </c>
      <c r="C17" s="20" t="str">
        <f t="shared" si="0"/>
        <v>Vul een 'x' in bij de gewenste taal / Entrez un 'x' pour la langue souhaitée</v>
      </c>
      <c r="D17" s="68"/>
      <c r="E17" s="14" t="str">
        <f>IF(D17="x","Fout, vul een aantal in / Erreur, remplissez un montant",IF(D18="x","Fout, vul een aantal in / Erreur, remplissez un montant",IF(D19="x","Fout, vul een aantal in / Erreur, remplissez un montant",IF(D20="x","Fout, vul een aantal in / Erreur, remplissez un montant",IF($H$1="NL",IF(SUM(D17:D20)&gt;D5,"Aantal meetmodules te hoog, kies gelijk of lager aantal dan het aantal mega macs X testers",""),IF($H$1="FR",IF(SUM(D17:D20)&gt;D5,"Nombre de modules de mesure trop élevé, choisissez un nombre égal ou inférieur au nombre de méga macs X testeurs",""),"Vul een 'x' in bij de gewenste taal / Entrez un 'x' pour la langue souhaitée"))))))</f>
        <v>Vul een 'x' in bij de gewenste taal / Entrez un 'x' pour la langue souhaitée</v>
      </c>
      <c r="F17" s="14"/>
      <c r="G17" s="69" t="str">
        <f>IF($H$1="NL",IF(SUM($D$17:$D$20)&gt;$D$5,"Fout, vul gele cellen correct in",IF($D17="","",D17*H17)),IF($H$1="FR",IF(SUM($D$17:$D$20)&gt;$D$5,"Erreur, remplissez correctement les cellules jaunes",IF($D17="","",D17*H17)),"Vul een 'x' in bij de gewenste taal / Entrez un 'x' pour la langue souhaitée"))</f>
        <v>Vul een 'x' in bij de gewenste taal / Entrez un 'x' pour la langue souhaitée</v>
      </c>
      <c r="H17" s="19">
        <v>550</v>
      </c>
      <c r="K17" s="19" t="s">
        <v>73</v>
      </c>
      <c r="L17" s="19" t="s">
        <v>74</v>
      </c>
    </row>
    <row r="18" spans="2:12">
      <c r="B18" s="20" t="s">
        <v>75</v>
      </c>
      <c r="C18" s="20" t="str">
        <f t="shared" si="0"/>
        <v>Vul een 'x' in bij de gewenste taal / Entrez un 'x' pour la langue souhaitée</v>
      </c>
      <c r="D18" s="68"/>
      <c r="E18" s="14"/>
      <c r="F18" s="14"/>
      <c r="G18" s="69" t="str">
        <f>IF($H$1="NL",IF(SUM($D$17:$D$20)&gt;$D$5,"Fout, vul gele cellen correct in",IF($D18="","",D18*H18)),IF($H$1="FR",IF(SUM($D$17:$D$20)&gt;$D$5,"Erreur, remplissez correctement les cellules jaunes",IF($D18="","",D18*H18)),"Vul een 'x' in bij de gewenste taal / Entrez un 'x' pour la langue souhaitée"))</f>
        <v>Vul een 'x' in bij de gewenste taal / Entrez un 'x' pour la langue souhaitée</v>
      </c>
      <c r="H18" s="19">
        <v>1190</v>
      </c>
      <c r="K18" s="19" t="s">
        <v>76</v>
      </c>
      <c r="L18" s="19" t="s">
        <v>77</v>
      </c>
    </row>
    <row r="19" spans="2:12">
      <c r="B19" s="20" t="s">
        <v>78</v>
      </c>
      <c r="C19" s="20" t="str">
        <f t="shared" si="0"/>
        <v>Vul een 'x' in bij de gewenste taal / Entrez un 'x' pour la langue souhaitée</v>
      </c>
      <c r="D19" s="68"/>
      <c r="E19" s="14"/>
      <c r="F19" s="14"/>
      <c r="G19" s="69" t="str">
        <f>IF($H$1="NL",IF(SUM($D$17:$D$20)&gt;$D$5,"Fout, vul gele cellen correct in",IF($D19="","",D19*H19)),IF($H$1="FR",IF(SUM($D$17:$D$20)&gt;$D$5,"Erreur, remplissez correctement les cellules jaunes",IF($D19="","",D19*H19)),"Vul een 'x' in bij de gewenste taal / Entrez un 'x' pour la langue souhaitée"))</f>
        <v>Vul een 'x' in bij de gewenste taal / Entrez un 'x' pour la langue souhaitée</v>
      </c>
      <c r="H19" s="19">
        <v>1590</v>
      </c>
      <c r="K19" s="19" t="s">
        <v>79</v>
      </c>
      <c r="L19" s="19" t="s">
        <v>80</v>
      </c>
    </row>
    <row r="20" spans="2:12">
      <c r="B20" s="20" t="s">
        <v>81</v>
      </c>
      <c r="C20" s="20" t="str">
        <f t="shared" si="0"/>
        <v>Vul een 'x' in bij de gewenste taal / Entrez un 'x' pour la langue souhaitée</v>
      </c>
      <c r="D20" s="68"/>
      <c r="E20" s="14"/>
      <c r="F20" s="14"/>
      <c r="G20" s="69" t="str">
        <f>IF($H$1="NL",IF(SUM($D$17:$D$20)&gt;$D$5,"Fout, vul gele cellen correct in",IF($D20="","",D20*H20)),IF($H$1="FR",IF(SUM($D$17:$D$20)&gt;$D$5,"Erreur, remplissez correctement les cellules jaunes",IF($D20="","",D20*H20)),"Vul een 'x' in bij de gewenste taal / Entrez un 'x' pour la langue souhaitée"))</f>
        <v>Vul een 'x' in bij de gewenste taal / Entrez un 'x' pour la langue souhaitée</v>
      </c>
      <c r="H20" s="19">
        <v>2290</v>
      </c>
      <c r="K20" s="19" t="s">
        <v>82</v>
      </c>
      <c r="L20" s="19" t="s">
        <v>83</v>
      </c>
    </row>
    <row r="21" spans="2:12">
      <c r="B21" s="20" t="s">
        <v>84</v>
      </c>
      <c r="C21" s="20" t="str">
        <f t="shared" si="0"/>
        <v>Vul een 'x' in bij de gewenste taal / Entrez un 'x' pour la langue souhaitée</v>
      </c>
      <c r="D21" s="68"/>
      <c r="E21" s="14" t="str">
        <f>IF(D21="x","Fout, vul een aantal in / Erreur, remplissez un montant","")</f>
        <v/>
      </c>
      <c r="F21" s="14"/>
      <c r="G21" s="69" t="str">
        <f>IF($D21="","",D21*H21)</f>
        <v/>
      </c>
      <c r="H21" s="19">
        <v>959</v>
      </c>
      <c r="K21" s="19" t="s">
        <v>85</v>
      </c>
      <c r="L21" s="19" t="s">
        <v>85</v>
      </c>
    </row>
    <row r="22" spans="2:12">
      <c r="B22" s="20" t="s">
        <v>86</v>
      </c>
      <c r="C22" s="20" t="str">
        <f t="shared" si="0"/>
        <v>Vul een 'x' in bij de gewenste taal / Entrez un 'x' pour la langue souhaitée</v>
      </c>
      <c r="D22" s="68"/>
      <c r="E22" s="14" t="str">
        <f>IF(D22="x","Fout, vul een aantal in / Erreur, remplissez un montant","")</f>
        <v/>
      </c>
      <c r="F22" s="14"/>
      <c r="G22" s="69" t="str">
        <f>IF($D22="","",D22*H22)</f>
        <v/>
      </c>
      <c r="H22" s="19">
        <v>1490</v>
      </c>
      <c r="K22" s="19" t="s">
        <v>87</v>
      </c>
      <c r="L22" s="19" t="s">
        <v>88</v>
      </c>
    </row>
    <row r="23" spans="2:12">
      <c r="B23" s="20" t="s">
        <v>89</v>
      </c>
      <c r="C23" s="20" t="str">
        <f t="shared" si="0"/>
        <v>Vul een 'x' in bij de gewenste taal / Entrez un 'x' pour la langue souhaitée</v>
      </c>
      <c r="D23" s="68"/>
      <c r="E23" s="14" t="str">
        <f>IF(D23="x","Fout, vul een aantal in / Erreur, remplissez un montant","")</f>
        <v/>
      </c>
      <c r="F23" s="14"/>
      <c r="G23" s="69" t="str">
        <f>IF($D23="","",D23*H23)</f>
        <v/>
      </c>
      <c r="H23" s="19">
        <v>1790</v>
      </c>
      <c r="K23" s="19" t="s">
        <v>90</v>
      </c>
      <c r="L23" s="19" t="s">
        <v>91</v>
      </c>
    </row>
    <row r="24" spans="2:12">
      <c r="B24" s="20" t="s">
        <v>92</v>
      </c>
      <c r="C24" s="20" t="str">
        <f t="shared" si="0"/>
        <v>Vul een 'x' in bij de gewenste taal / Entrez un 'x' pour la langue souhaitée</v>
      </c>
      <c r="D24" s="68"/>
      <c r="E24" s="14" t="str">
        <f>IF(D24="x","Fout, vul een aantal in / Erreur, remplissez un montant","")</f>
        <v/>
      </c>
      <c r="F24" s="14"/>
      <c r="G24" s="69" t="str">
        <f>IF($D24="","",D24*H24)</f>
        <v/>
      </c>
      <c r="H24" s="19">
        <v>3990</v>
      </c>
      <c r="K24" s="19" t="s">
        <v>93</v>
      </c>
      <c r="L24" s="19" t="s">
        <v>94</v>
      </c>
    </row>
    <row r="25" spans="2:12" s="19" customFormat="1">
      <c r="B25" s="19" t="s">
        <v>95</v>
      </c>
      <c r="C25" s="19" t="s">
        <v>95</v>
      </c>
      <c r="D25" s="19" t="s">
        <v>95</v>
      </c>
      <c r="E25" s="19" t="s">
        <v>95</v>
      </c>
      <c r="F25" s="19" t="s">
        <v>95</v>
      </c>
      <c r="G25" s="74" t="s">
        <v>95</v>
      </c>
    </row>
    <row r="26" spans="2:12">
      <c r="B26" s="20" t="s">
        <v>96</v>
      </c>
      <c r="C26" s="20" t="str">
        <f>IF($H$1="NL",K26,IF($H$1="FR",L26,"Vul een 'x' in bij de gewenste taal / Entrez un 'x' pour la langue souhaitée"))</f>
        <v>Vul een 'x' in bij de gewenste taal / Entrez un 'x' pour la langue souhaitée</v>
      </c>
      <c r="D26" s="68"/>
      <c r="E26" s="12" t="str">
        <f>IF(D26="x","Fout, vul een aantal in / Erreur, remplissez un montant","")</f>
        <v/>
      </c>
      <c r="F26" s="1"/>
      <c r="G26" s="69" t="str">
        <f>IF($D26="","",D26*H26)</f>
        <v/>
      </c>
      <c r="H26" s="19">
        <v>4490</v>
      </c>
      <c r="K26" s="19" t="s">
        <v>97</v>
      </c>
      <c r="L26" s="19" t="s">
        <v>98</v>
      </c>
    </row>
    <row r="27" spans="2:12">
      <c r="B27" s="20" t="s">
        <v>99</v>
      </c>
      <c r="C27" s="20" t="str">
        <f>IF($H$1="NL",K27,IF($H$1="FR",L27,"Vul een 'x' in bij de gewenste taal / Entrez un 'x' pour la langue souhaitée"))</f>
        <v>Vul een 'x' in bij de gewenste taal / Entrez un 'x' pour la langue souhaitée</v>
      </c>
      <c r="D27" s="20" t="str">
        <f>IF($D$26&gt;0,$D$26,"")</f>
        <v/>
      </c>
      <c r="E27" s="14" t="str">
        <f>IF(D27="x","Fout, vul een aantal in / Erreur, remplissez un montant","")</f>
        <v/>
      </c>
      <c r="F27" s="14"/>
      <c r="G27" s="69" t="str">
        <f>IF($D27="","",D27*H27)</f>
        <v/>
      </c>
      <c r="H27" s="19">
        <v>0</v>
      </c>
      <c r="K27" s="19" t="s">
        <v>100</v>
      </c>
      <c r="L27" s="19" t="s">
        <v>101</v>
      </c>
    </row>
    <row r="28" spans="2:12">
      <c r="B28" s="20" t="s">
        <v>102</v>
      </c>
      <c r="C28" s="20" t="str">
        <f>IF($H$1="NL",K28,IF($H$1="FR",L28,"Vul een 'x' in bij de gewenste taal / Entrez un 'x' pour la langue souhaitée"))</f>
        <v>Vul een 'x' in bij de gewenste taal / Entrez un 'x' pour la langue souhaitée</v>
      </c>
      <c r="D28" s="68"/>
      <c r="E28" s="14" t="str">
        <f>IF(D28="x","Fout, vul een aantal in / Erreur, remplissez un montant",IF(D29="x","Fout, vul een aantal in / Erreur, remplissez un montant",IF($H$1="NL",IF(SUM(D28:D29)&gt;D26,"Aantal te hoog, kies gelijk aan het aantal CSC-tool SE",IF(SUM(D28:D29)&lt;D26,"Aantal te laag, kies gelijk aan het aantal CSC-tool SE","")),IF($H$1="FR",IF(SUM(D28:D29)&gt;D26,"Nombre trop élevé, choisissez égal au nombre CSC-tool SE",IF(SUM(D28:D29)&lt;D26,"Nombre trop bas, choisissez égal au nombre CSC-tool SE","")),"Vul een 'x' in bij de gewenste taal / Entrez un 'x' pour la langue souhaitée"))))</f>
        <v>Vul een 'x' in bij de gewenste taal / Entrez un 'x' pour la langue souhaitée</v>
      </c>
      <c r="F28" s="14"/>
      <c r="G28" s="69" t="str">
        <f>IF($H$1="NL",IF(SUM($D$28:$D$29)=$D$26,IF($D28="","",D28*H28),"Fout, vul gele cellen correct in"),IF($H$1="FR",IF(SUM($D$28:$D$29)=$D$26,IF($D28="","",D28*H28),"Erreur, remplissez correctement les cellules jaunes"),"Vul een 'x' in bij de gewenste taal / Entrez un 'x' pour la langue souhaitée"))</f>
        <v>Vul een 'x' in bij de gewenste taal / Entrez un 'x' pour la langue souhaitée</v>
      </c>
      <c r="H28" s="19">
        <v>2990</v>
      </c>
      <c r="K28" s="19" t="s">
        <v>103</v>
      </c>
      <c r="L28" s="19" t="s">
        <v>104</v>
      </c>
    </row>
    <row r="29" spans="2:12">
      <c r="B29" s="20" t="s">
        <v>105</v>
      </c>
      <c r="C29" s="20" t="str">
        <f>IF($H$1="NL",K29,IF($H$1="FR",L29,"Vul een 'x' in bij de gewenste taal / Entrez un 'x' pour la langue souhaitée"))</f>
        <v>Vul een 'x' in bij de gewenste taal / Entrez un 'x' pour la langue souhaitée</v>
      </c>
      <c r="D29" s="68"/>
      <c r="E29" s="14"/>
      <c r="F29" s="14"/>
      <c r="G29" s="69" t="str">
        <f>IF($H$1="NL",IF(SUM($D$28:$D$29)=$D$26,IF($D29="","",D29*H29),"Fout, vul gele cellen correct in"),IF($H$1="FR",IF(SUM($D$28:$D$29)=$D$26,IF($D29="","",D29*H29),"Erreur, remplissez correctement les cellules jaunes"),"Vul een 'x' in bij de gewenste taal / Entrez un 'x' pour la langue souhaitée"))</f>
        <v>Vul een 'x' in bij de gewenste taal / Entrez un 'x' pour la langue souhaitée</v>
      </c>
      <c r="H29" s="19">
        <v>4890</v>
      </c>
      <c r="K29" s="19" t="s">
        <v>106</v>
      </c>
      <c r="L29" s="19" t="s">
        <v>107</v>
      </c>
    </row>
    <row r="30" spans="2:12">
      <c r="B30" s="20" t="s">
        <v>108</v>
      </c>
      <c r="C30" s="20" t="str">
        <f>IF($H$1="NL",K30,IF($H$1="FR",L30,"Vul een 'x' in bij de gewenste taal / Entrez un 'x' pour la langue souhaitée"))</f>
        <v>Vul een 'x' in bij de gewenste taal / Entrez un 'x' pour la langue souhaitée</v>
      </c>
      <c r="D30" s="20" t="str">
        <f>IF($D$26&gt;0,$D$26,"")</f>
        <v/>
      </c>
      <c r="E30" s="14" t="str">
        <f>IF(D30="x","Fout, vul een aantal in / Erreur, remplissez un montant","")</f>
        <v/>
      </c>
      <c r="F30" s="14"/>
      <c r="G30" s="69" t="str">
        <f>IF($D30="","",H30)</f>
        <v/>
      </c>
      <c r="H30" s="19">
        <v>0</v>
      </c>
      <c r="K30" s="19" t="s">
        <v>109</v>
      </c>
      <c r="L30" s="19" t="s">
        <v>110</v>
      </c>
    </row>
    <row r="31" spans="2:12" s="19" customFormat="1">
      <c r="B31" s="19" t="s">
        <v>95</v>
      </c>
      <c r="C31" s="19" t="s">
        <v>95</v>
      </c>
      <c r="D31" s="19" t="s">
        <v>95</v>
      </c>
      <c r="E31" s="19" t="s">
        <v>95</v>
      </c>
      <c r="F31" s="19" t="s">
        <v>95</v>
      </c>
      <c r="G31" s="74" t="s">
        <v>95</v>
      </c>
    </row>
    <row r="32" spans="2:12">
      <c r="B32" s="20" t="s">
        <v>111</v>
      </c>
      <c r="C32" s="20" t="str">
        <f>IF($H$1="NL",K32,IF($H$1="FR",L32,"Vul een 'x' in bij de gewenste taal / Entrez un 'x' pour la langue souhaitée"))</f>
        <v>Vul een 'x' in bij de gewenste taal / Entrez un 'x' pour la langue souhaitée</v>
      </c>
      <c r="D32" s="68"/>
      <c r="E32" s="14" t="str">
        <f>IF(D32="x","Fout, vul een aantal in / Erreur, remplissez un montant","")</f>
        <v/>
      </c>
      <c r="F32" s="14"/>
      <c r="G32" s="69" t="str">
        <f>IF($D32="","",D32*H32)</f>
        <v/>
      </c>
      <c r="H32" s="19">
        <v>8490</v>
      </c>
      <c r="K32" s="19" t="s">
        <v>112</v>
      </c>
      <c r="L32" s="19" t="s">
        <v>112</v>
      </c>
    </row>
    <row r="33" spans="2:12">
      <c r="B33" s="20" t="s">
        <v>99</v>
      </c>
      <c r="C33" s="20" t="str">
        <f>IF($H$1="NL",K33,IF($H$1="FR",L33,"Vul een 'x' in bij de gewenste taal / Entrez un 'x' pour la langue souhaitée"))</f>
        <v>Vul een 'x' in bij de gewenste taal / Entrez un 'x' pour la langue souhaitée</v>
      </c>
      <c r="D33" s="20" t="str">
        <f>IF($D$32&gt;0,$D$32,"")</f>
        <v/>
      </c>
      <c r="E33" s="14" t="str">
        <f>IF(D33="x","Fout, vul een aantal in / Erreur, remplissez un montant","")</f>
        <v/>
      </c>
      <c r="F33" s="14"/>
      <c r="G33" s="69" t="str">
        <f>IF($D33="","",D33*H33)</f>
        <v/>
      </c>
      <c r="H33" s="19">
        <v>0</v>
      </c>
      <c r="K33" s="19" t="s">
        <v>100</v>
      </c>
      <c r="L33" s="19" t="s">
        <v>101</v>
      </c>
    </row>
    <row r="34" spans="2:12">
      <c r="B34" s="20" t="s">
        <v>113</v>
      </c>
      <c r="C34" s="20" t="str">
        <f>IF($H$1="NL",K34,IF($H$1="FR",L34,"Vul een 'x' in bij de gewenste taal / Entrez un 'x' pour la langue souhaitée"))</f>
        <v>Vul een 'x' in bij de gewenste taal / Entrez un 'x' pour la langue souhaitée</v>
      </c>
      <c r="D34" s="20" t="str">
        <f>IF($D$32&gt;0,$D$32,"")</f>
        <v/>
      </c>
      <c r="E34" s="14" t="str">
        <f>IF(D34="x","Fout, vul een aantal in / Erreur, remplissez un montant","")</f>
        <v/>
      </c>
      <c r="F34" s="14"/>
      <c r="G34" s="69" t="str">
        <f>IF($D34="","",D34*H34)</f>
        <v/>
      </c>
      <c r="H34" s="19">
        <v>0</v>
      </c>
      <c r="K34" s="19" t="s">
        <v>114</v>
      </c>
      <c r="L34" s="19" t="s">
        <v>115</v>
      </c>
    </row>
    <row r="35" spans="2:12">
      <c r="B35" s="20" t="s">
        <v>102</v>
      </c>
      <c r="C35" s="20" t="str">
        <f>IF($H$1="NL",K35,IF($H$1="FR",L35,"Vul een 'x' in bij de gewenste taal / Entrez un 'x' pour la langue souhaitée"))</f>
        <v>Vul een 'x' in bij de gewenste taal / Entrez un 'x' pour la langue souhaitée</v>
      </c>
      <c r="D35" s="20" t="str">
        <f>IF($D$32&gt;0,$D$32,"")</f>
        <v/>
      </c>
      <c r="E35" s="14" t="str">
        <f>IF(D35="x","Fout, vul een aantal in / Erreur, remplissez un montant","")</f>
        <v/>
      </c>
      <c r="F35" s="14"/>
      <c r="G35" s="69" t="str">
        <f>IF($D35="","",D35*H35)</f>
        <v/>
      </c>
      <c r="H35" s="19">
        <v>2990</v>
      </c>
      <c r="K35" s="19" t="s">
        <v>103</v>
      </c>
      <c r="L35" s="19" t="s">
        <v>104</v>
      </c>
    </row>
    <row r="36" spans="2:12" s="19" customFormat="1">
      <c r="B36" s="19" t="s">
        <v>95</v>
      </c>
      <c r="C36" s="19" t="s">
        <v>95</v>
      </c>
      <c r="D36" s="19" t="s">
        <v>95</v>
      </c>
      <c r="E36" s="19" t="s">
        <v>95</v>
      </c>
      <c r="F36" s="19" t="s">
        <v>95</v>
      </c>
      <c r="G36" s="74" t="s">
        <v>95</v>
      </c>
    </row>
    <row r="37" spans="2:12">
      <c r="B37" s="20" t="s">
        <v>116</v>
      </c>
      <c r="C37" s="20" t="str">
        <f>IF($H$1="NL",K37,IF($H$1="FR",L37,"Vul een 'x' in bij de gewenste taal / Entrez un 'x' pour la langue souhaitée"))</f>
        <v>Vul een 'x' in bij de gewenste taal / Entrez un 'x' pour la langue souhaitée</v>
      </c>
      <c r="D37" s="68"/>
      <c r="E37" s="14" t="str">
        <f>IF(D37="x","Fout, vul een aantal in / Erreur, remplissez un montant","")</f>
        <v/>
      </c>
      <c r="F37" s="14"/>
      <c r="G37" s="69" t="str">
        <f>IF($D37="","",D37*H37)</f>
        <v/>
      </c>
      <c r="H37" s="19">
        <v>11990</v>
      </c>
      <c r="K37" s="19" t="s">
        <v>117</v>
      </c>
      <c r="L37" s="19" t="s">
        <v>117</v>
      </c>
    </row>
    <row r="38" spans="2:12">
      <c r="B38" s="20" t="s">
        <v>118</v>
      </c>
      <c r="C38" s="20" t="str">
        <f>IF($H$1="NL",K38,IF($H$1="FR",L38,"Vul een 'x' in bij de gewenste taal / Entrez un 'x' pour la langue souhaitée"))</f>
        <v>Vul een 'x' in bij de gewenste taal / Entrez un 'x' pour la langue souhaitée</v>
      </c>
      <c r="D38" s="20" t="str">
        <f>IF($D$37&gt;0,$D$37,"")</f>
        <v/>
      </c>
      <c r="E38" s="14" t="str">
        <f>IF(D38="x","Fout, vul een aantal in / Erreur, remplissez un montant","")</f>
        <v/>
      </c>
      <c r="F38" s="14"/>
      <c r="G38" s="69" t="str">
        <f>IF($D38="","",D38*H38)</f>
        <v/>
      </c>
      <c r="H38" s="19">
        <v>500</v>
      </c>
      <c r="K38" s="19" t="s">
        <v>119</v>
      </c>
      <c r="L38" s="19" t="s">
        <v>120</v>
      </c>
    </row>
    <row r="39" spans="2:12">
      <c r="B39" s="20" t="s">
        <v>102</v>
      </c>
      <c r="C39" s="20" t="str">
        <f>IF($H$1="NL",K39,IF($H$1="FR",L39,"Vul een 'x' in bij de gewenste taal / Entrez un 'x' pour la langue souhaitée"))</f>
        <v>Vul een 'x' in bij de gewenste taal / Entrez un 'x' pour la langue souhaitée</v>
      </c>
      <c r="D39" s="68"/>
      <c r="E39" s="14" t="str">
        <f>IF(D39="x","Fout, vul een aantal in / Erreur, remplissez un montant",IF(D40="x","Fout, vul een aantal in / Erreur, remplissez un montant",IF($H$1="NL",IF(SUM(D39:D40)&gt;D37,"Aantal te hoog, kies gelijk aan het aantal CSC-tool digital",IF(SUM(D39:D40)&lt;D37,"Aantal te laag, kies gelijk aan het aantal CSC-tool digital","")),IF($H$1="FR",IF(SUM(D39:D40)&gt;D37,"Nombre trop élevé, choisissez égal au nombre CSC-tool digital",IF(SUM(D39:D40)&lt;D37,"Nombre trop bas, choisissez égal au nombre CSC-tool digital","")),"Vul een 'x' in bij de gewenste taal / Entrez un 'x' pour la langue souhaitée"))))</f>
        <v>Vul een 'x' in bij de gewenste taal / Entrez un 'x' pour la langue souhaitée</v>
      </c>
      <c r="F39" s="14"/>
      <c r="G39" s="69" t="str">
        <f>IF($H$1="NL",IF(SUM($D$39:$D$40)=$D$37,IF($D39="","",D39*H39),"Fout, vul gele cellen correct in"),IF($H$1="FR",IF(SUM($D$39:$D$40)=$D$37,IF($D39="","",D39*H39),"Erreur, remplissez correctement les cellules jaunes"),"Vul een 'x' in bij de gewenste taal / Entrez un 'x' pour la langue souhaitée"))</f>
        <v>Vul een 'x' in bij de gewenste taal / Entrez un 'x' pour la langue souhaitée</v>
      </c>
      <c r="H39" s="19">
        <v>2990</v>
      </c>
      <c r="K39" s="19" t="s">
        <v>103</v>
      </c>
      <c r="L39" s="19" t="s">
        <v>104</v>
      </c>
    </row>
    <row r="40" spans="2:12">
      <c r="B40" s="20" t="s">
        <v>105</v>
      </c>
      <c r="C40" s="20" t="str">
        <f>IF($H$1="NL",K40,IF($H$1="FR",L40,"Vul een 'x' in bij de gewenste taal / Entrez un 'x' pour la langue souhaitée"))</f>
        <v>Vul een 'x' in bij de gewenste taal / Entrez un 'x' pour la langue souhaitée</v>
      </c>
      <c r="D40" s="68"/>
      <c r="E40" s="14"/>
      <c r="F40" s="14"/>
      <c r="G40" s="69" t="str">
        <f>IF($H$1="NL",IF(SUM($D$39:$D$40)=$D$37,IF($D40="","",D40*H40),"Fout, vul gele cellen correct in"),IF($H$1="FR",IF(SUM($D$39:$D$40)=$D$37,IF($D40="","",D40*H40),"Erreur, remplissez correctement les cellules jaunes"),"Vul een 'x' in bij de gewenste taal / Entrez un 'x' pour la langue souhaitée"))</f>
        <v>Vul een 'x' in bij de gewenste taal / Entrez un 'x' pour la langue souhaitée</v>
      </c>
      <c r="H40" s="19">
        <v>4890</v>
      </c>
      <c r="K40" s="19" t="s">
        <v>106</v>
      </c>
      <c r="L40" s="19" t="s">
        <v>107</v>
      </c>
    </row>
    <row r="41" spans="2:12" s="19" customFormat="1">
      <c r="B41" s="19" t="s">
        <v>95</v>
      </c>
      <c r="C41" s="19" t="s">
        <v>95</v>
      </c>
      <c r="D41" s="19" t="s">
        <v>95</v>
      </c>
      <c r="E41" s="19" t="s">
        <v>95</v>
      </c>
      <c r="F41" s="19" t="s">
        <v>95</v>
      </c>
      <c r="G41" s="74" t="s">
        <v>95</v>
      </c>
    </row>
    <row r="42" spans="2:12">
      <c r="B42" s="20"/>
      <c r="C42" s="20" t="str">
        <f>IF($H$1="NL",K42,IF($H$1="FR",L42,"Vul een 'x' in bij de gewenste taal / Entrez un 'x' pour la langue souhaitée"))</f>
        <v>Vul een 'x' in bij de gewenste taal / Entrez un 'x' pour la langue souhaitée</v>
      </c>
      <c r="D42" s="20"/>
      <c r="E42" s="14" t="str">
        <f>IF(D42="x","Fout, vul een aantal in / Erreur, remplissez un montant","")</f>
        <v/>
      </c>
      <c r="F42" s="14"/>
      <c r="G42" s="69">
        <f>SUM($G$51:$G$69)</f>
        <v>0</v>
      </c>
      <c r="K42" s="19" t="s">
        <v>121</v>
      </c>
      <c r="L42" s="19" t="s">
        <v>122</v>
      </c>
    </row>
    <row r="43" spans="2:12">
      <c r="B43" s="20"/>
      <c r="C43" s="20" t="str">
        <f>IF($H$1="NL",K43,IF($H$1="FR",L43,"Vul een 'x' in bij de gewenste taal / Entrez un 'x' pour la langue souhaitée"))</f>
        <v>Vul een 'x' in bij de gewenste taal / Entrez un 'x' pour la langue souhaitée</v>
      </c>
      <c r="D43" s="20"/>
      <c r="E43" s="14" t="str">
        <f>IF(D43="x","Fout, vul een aantal in / Erreur, remplissez un montant","")</f>
        <v/>
      </c>
      <c r="F43" s="14"/>
      <c r="G43" s="69">
        <f>SUM($G$72:$G$91)</f>
        <v>0</v>
      </c>
      <c r="K43" s="19" t="s">
        <v>123</v>
      </c>
      <c r="L43" s="19" t="s">
        <v>124</v>
      </c>
    </row>
    <row r="44" spans="2:12">
      <c r="B44" s="20"/>
      <c r="C44" s="20" t="str">
        <f>IF($H$1="NL",K44,IF($H$1="FR",L44,"Vul een 'x' in bij de gewenste taal / Entrez un 'x' pour la langue souhaitée"))</f>
        <v>Vul een 'x' in bij de gewenste taal / Entrez un 'x' pour la langue souhaitée</v>
      </c>
      <c r="D44" s="68"/>
      <c r="E44" s="14" t="str">
        <f>IF(D44="x","Fout, vul een aantal in / Erreur, remplissez un montant",IF(D45="x","Fout, vul een aantal in / Erreur, remplissez un montant",IF($H$1="NL",IF(D45&gt;(D37-D44)*20,"Aantal te hoog, kies gelijk aan het aantal CSC-tool digital (1 jaarabonnement of maximaal 20 panelen per CSC-tool digital)",""),IF($H$1="FR",IF(D45&gt;(D37-D44)*20,"Nombre trop élevé, choisissez égal au nombre de CSC-tool digital (1 an d’abonnement ou un maximum de 20 panels par CSC-tool digital)",""),"Vul een 'x' in bij de gewenste taal / Entrez un 'x' pour la langue souhaitée"))))</f>
        <v>Vul een 'x' in bij de gewenste taal / Entrez un 'x' pour la langue souhaitée</v>
      </c>
      <c r="F44" s="14"/>
      <c r="G44" s="69" t="str">
        <f>IF(H1="NL",IF($D44="","",IF($E44="",D44*H44,"Fout, vul gele cellen correct in")),IF(H1="FR",IF($D44="","",IF($E44="",D44*H44,"Erreur, remplissez correctement les cellules jaunes")),"Vul een 'x' in bij de gewenste taal / Entrez un 'x' pour la langue souhaitée"))</f>
        <v>Vul een 'x' in bij de gewenste taal / Entrez un 'x' pour la langue souhaitée</v>
      </c>
      <c r="H44" s="19">
        <v>199.99</v>
      </c>
      <c r="K44" s="19" t="s">
        <v>125</v>
      </c>
      <c r="L44" s="19" t="s">
        <v>126</v>
      </c>
    </row>
    <row r="45" spans="2:12">
      <c r="B45" s="20"/>
      <c r="C45" s="20" t="str">
        <f>IF($H$1="NL",K45,IF($H$1="FR",L45,"Vul een 'x' in bij de gewenste taal / Entrez un 'x' pour la langue souhaitée"))</f>
        <v>Vul een 'x' in bij de gewenste taal / Entrez un 'x' pour la langue souhaitée</v>
      </c>
      <c r="D45" s="68"/>
      <c r="E45" s="14"/>
      <c r="F45" s="14"/>
      <c r="G45" s="69" t="str">
        <f>IF($H$1="NL",IF($D45="",0,IF($E44="",D45*H45,"Fout, vul gele cellen correct in")),IF($H$1="FR",IF($D45="",0,IF($E44="",D45*H45,"Erreur, remplissez correctement les cellules jaunes")),"Vul een 'x' in bij de gewenste taal / Entrez un 'x' pour la langue souhaitée"))</f>
        <v>Vul een 'x' in bij de gewenste taal / Entrez un 'x' pour la langue souhaitée</v>
      </c>
      <c r="H45" s="19">
        <v>49.99</v>
      </c>
      <c r="K45" s="19" t="s">
        <v>127</v>
      </c>
      <c r="L45" s="19" t="s">
        <v>128</v>
      </c>
    </row>
    <row r="46" spans="2:12">
      <c r="B46" s="20"/>
      <c r="C46" s="20" t="str">
        <f>IF($H$1="NL",K46,IF($H$1="FR",L46,"Vul een 'x' in bij de gewenste taal / Entrez un 'x' pour la langue souhaitée"))</f>
        <v>Vul een 'x' in bij de gewenste taal / Entrez un 'x' pour la langue souhaitée</v>
      </c>
      <c r="D46" s="20"/>
      <c r="E46" s="14" t="str">
        <f>IF(D46="x","Fout, vul een aantal in / Erreur, remplissez un montant","")</f>
        <v/>
      </c>
      <c r="F46" s="14"/>
      <c r="G46" s="69">
        <f>SUM($G$94:$G$109)</f>
        <v>0</v>
      </c>
      <c r="K46" s="19" t="s">
        <v>129</v>
      </c>
      <c r="L46" s="19" t="s">
        <v>129</v>
      </c>
    </row>
    <row r="47" spans="2:12" s="19" customFormat="1">
      <c r="B47" s="19" t="s">
        <v>95</v>
      </c>
      <c r="C47" s="19" t="s">
        <v>95</v>
      </c>
      <c r="D47" s="19" t="s">
        <v>95</v>
      </c>
      <c r="E47" s="19" t="s">
        <v>95</v>
      </c>
      <c r="F47" s="19" t="s">
        <v>95</v>
      </c>
      <c r="G47" s="74" t="s">
        <v>95</v>
      </c>
    </row>
    <row r="48" spans="2:12">
      <c r="B48" s="20"/>
      <c r="C48" s="20" t="str">
        <f>IF($H$1="NL","Totaal",IF($H$1="FR","Total","Vul een 'x' in bij de gewenste taal / Entrez un 'x' pour la langue souhaitée"))</f>
        <v>Vul een 'x' in bij de gewenste taal / Entrez un 'x' pour la langue souhaitée</v>
      </c>
      <c r="D48" s="20"/>
      <c r="E48" s="14"/>
      <c r="F48" s="14"/>
      <c r="G48" s="69">
        <f>SUM(G5:G46)</f>
        <v>0</v>
      </c>
    </row>
    <row r="49" spans="2:15" s="19" customFormat="1">
      <c r="B49" s="19" t="s">
        <v>95</v>
      </c>
      <c r="C49" s="19" t="s">
        <v>95</v>
      </c>
      <c r="D49" s="19" t="s">
        <v>95</v>
      </c>
      <c r="E49" s="19" t="s">
        <v>95</v>
      </c>
      <c r="F49" s="19" t="s">
        <v>95</v>
      </c>
      <c r="G49" s="74" t="s">
        <v>95</v>
      </c>
    </row>
    <row r="50" spans="2:15" s="17" customFormat="1" ht="12.95">
      <c r="B50" s="61" t="str">
        <f>B$4</f>
        <v>Vul een 'x' in bij de gewenste taal / Entrez un 'x' pour la langue souhaitée</v>
      </c>
      <c r="C50" s="61" t="str">
        <f>IF($H$1="NL",K50,IF($H$1="FR",L50,IF(IF(E47="x",1,0)+IF(E48="x",1,0)&lt;1,"Vul een 'x' in bij de gewenste taal / Entrez un 'x' pour la langue souhaitée",IF(IF(E47="x",1,0)+IF(E48="x",1,0)&gt;1,"Kies maar één taal: zet een 'x' bij de gewenste taal / Choisissez une seule langue : entrez un 'x' pour la langue souhaitée",""))))</f>
        <v>Vul een 'x' in bij de gewenste taal / Entrez un 'x' pour la langue souhaitée</v>
      </c>
      <c r="D50" s="61" t="str">
        <f>D$4</f>
        <v>Vul een 'x' in bij de gewenste taal / Entrez un 'x' pour la langue souhaitée</v>
      </c>
      <c r="E50" s="10" t="str">
        <f>E$4</f>
        <v>Vul een 'x' in bij de gewenste taal / Entrez un 'x' pour la langue souhaitée</v>
      </c>
      <c r="F50" s="9"/>
      <c r="G50" s="56" t="str">
        <f>G$4</f>
        <v>Vul een 'x' in bij de gewenste taal / Entrez un 'x' pour la langue souhaitée</v>
      </c>
      <c r="H50" s="21" t="s">
        <v>130</v>
      </c>
      <c r="I50" s="21"/>
      <c r="J50" s="21"/>
      <c r="K50" s="21" t="s">
        <v>131</v>
      </c>
      <c r="L50" s="21" t="s">
        <v>132</v>
      </c>
      <c r="M50" s="21"/>
      <c r="N50" s="21"/>
      <c r="O50" s="21"/>
    </row>
    <row r="51" spans="2:15">
      <c r="B51" s="22" t="s">
        <v>133</v>
      </c>
      <c r="C51" s="22" t="str">
        <f t="shared" ref="C51:C69" si="2">IF($H$1="NL",K51,IF($H$1="FR",L51,"Vul een 'x' in bij de gewenste taal / Entrez un 'x' pour la langue souhaitée"))</f>
        <v>Vul een 'x' in bij de gewenste taal / Entrez un 'x' pour la langue souhaitée</v>
      </c>
      <c r="D51" s="68"/>
      <c r="E51" s="3" t="str">
        <f>IF(D51="x","Fout, vul een aantal in / Erreur, remplissez un montant",IF($H$1="NL",IF(D51="","",IF(D51&gt;0,IF($D$26="","Kies ook één of meerdere CSC-tool SE",IF(D51&gt;$D$26,"Te veel panelen, kies maximaal een gelijk aantal panelen als het aantal CSC-tool SE","")),"")),IF($H$1="FR",IF(D51="","",IF(D51&gt;0,IF($D$26="","Choisissez également un ou plusieurs CSC-tool SE",IF(D51&gt;$D$26,"Trop de tableaux, choisissez jusqu’à un nombre égal de tableaux comme le nombre de CSC-tool SE","")),"")),"Vul een 'x' in bij de gewenste taal / Entrez un 'x' pour la langue souhaitée")))</f>
        <v>Vul een 'x' in bij de gewenste taal / Entrez un 'x' pour la langue souhaitée</v>
      </c>
      <c r="F51" s="3"/>
      <c r="G51" s="71" t="str">
        <f t="shared" ref="G51:G69" si="3">IF($H$1="NL",IF(E51="Kies ook één of meerdere CSC-tool SE","Fout, vul gele cellen correct in",IF($D51="","",D51*H51)),IF($H$1="FR",IF(E51="Choisissez également un ou plusieurs CSC-tool SE","Erreur, remplissez correctement les cellules jaunes",IF($D51="","",D51*H51)),"Vul een 'x' in bij de gewenste taal / Entrez un 'x' pour la langue souhaitée"))</f>
        <v>Vul een 'x' in bij de gewenste taal / Entrez un 'x' pour la langue souhaitée</v>
      </c>
      <c r="H51" s="19">
        <v>390</v>
      </c>
      <c r="K51" s="19" t="s">
        <v>134</v>
      </c>
      <c r="L51" s="19" t="s">
        <v>135</v>
      </c>
    </row>
    <row r="52" spans="2:15">
      <c r="B52" s="22" t="s">
        <v>136</v>
      </c>
      <c r="C52" s="22" t="str">
        <f t="shared" si="2"/>
        <v>Vul een 'x' in bij de gewenste taal / Entrez un 'x' pour la langue souhaitée</v>
      </c>
      <c r="D52" s="68"/>
      <c r="E52" s="3" t="str">
        <f>IF(D52="x","Fout, vul een aantal in / Erreur, remplissez un montant",IF($H$1="NL",IF(D52="","",IF(D52&gt;0,IF($D$26="","Kies ook één of meerdere CSC-tool SE",IF(D52&gt;$D$26,"Te veel panelen, kies maximaal een gelijk aantal panelen als het aantal CSC-tool SE","")),"")),IF($H$1="FR",IF(D52="","",IF(D52&gt;0,IF($D$26="","Choisissez également un ou plusieurs CSC-tool SE",IF(D52&gt;$D$26,"Trop de tableaux, choisissez jusqu’à un nombre égal de tableaux comme le nombre de CSC-tool SE","")),"")),"Vul een 'x' in bij de gewenste taal / Entrez un 'x' pour la langue souhaitée")))</f>
        <v>Vul een 'x' in bij de gewenste taal / Entrez un 'x' pour la langue souhaitée</v>
      </c>
      <c r="F52" s="3"/>
      <c r="G52" s="71" t="str">
        <f t="shared" si="3"/>
        <v>Vul een 'x' in bij de gewenste taal / Entrez un 'x' pour la langue souhaitée</v>
      </c>
      <c r="H52" s="19">
        <v>390</v>
      </c>
      <c r="K52" s="19" t="s">
        <v>137</v>
      </c>
      <c r="L52" s="19" t="s">
        <v>138</v>
      </c>
    </row>
    <row r="53" spans="2:15">
      <c r="B53" s="22" t="s">
        <v>139</v>
      </c>
      <c r="C53" s="22" t="str">
        <f t="shared" si="2"/>
        <v>Vul een 'x' in bij de gewenste taal / Entrez un 'x' pour la langue souhaitée</v>
      </c>
      <c r="D53" s="68"/>
      <c r="E53" s="3" t="str">
        <f>IF(D53="x","Fout, vul een aantal in / Erreur, remplissez un montant",IF($H$1="NL",IF(D53="","",IF(D53&gt;0,IF($D$26="","Kies ook één of meerdere CSC-tool SE",IF(D53&gt;$D$26,"Te veel panelen, kies maximaal een gelijk aantal panelen als het aantal CSC-tool SE","")),"")),IF($H$1="FR",IF(D53="","",IF(D53&gt;0,IF($D$26="","Choisissez également un ou plusieurs CSC-tool SE",IF(D53&gt;$D$26,"Trop de tableaux, choisissez jusqu’à un nombre égal de tableaux comme le nombre de CSC-tool SE","")),"")),"Vul een 'x' in bij de gewenste taal / Entrez un 'x' pour la langue souhaitée")))</f>
        <v>Vul een 'x' in bij de gewenste taal / Entrez un 'x' pour la langue souhaitée</v>
      </c>
      <c r="F53" s="3"/>
      <c r="G53" s="71" t="str">
        <f t="shared" si="3"/>
        <v>Vul een 'x' in bij de gewenste taal / Entrez un 'x' pour la langue souhaitée</v>
      </c>
      <c r="H53" s="19">
        <v>390</v>
      </c>
      <c r="K53" s="19" t="s">
        <v>140</v>
      </c>
      <c r="L53" s="19" t="s">
        <v>141</v>
      </c>
    </row>
    <row r="54" spans="2:15">
      <c r="B54" s="22" t="s">
        <v>142</v>
      </c>
      <c r="C54" s="22" t="str">
        <f t="shared" si="2"/>
        <v>Vul een 'x' in bij de gewenste taal / Entrez un 'x' pour la langue souhaitée</v>
      </c>
      <c r="D54" s="68"/>
      <c r="E54" s="3" t="str">
        <f>IF(D54="x","Fout, vul een aantal in / Erreur, remplissez un montant",IF($H$1="NL",IF(D54="","",IF(D54&gt;0,IF($D$26="","Kies ook één of meerdere CSC-tool SE",IF(D54&gt;$D$26,"Te veel panelen, kies maximaal een gelijk aantal panelen als het aantal CSC-tool SE","")),"")),IF($H$1="FR",IF(D54="","",IF(D54&gt;0,IF($D$26="","Choisissez également un ou plusieurs CSC-tool SE",IF(D54&gt;$D$26,"Trop de tableaux, choisissez jusqu’à un nombre égal de tableaux comme le nombre de CSC-tool SE","")),"")),"Vul een 'x' in bij de gewenste taal / Entrez un 'x' pour la langue souhaitée")))</f>
        <v>Vul een 'x' in bij de gewenste taal / Entrez un 'x' pour la langue souhaitée</v>
      </c>
      <c r="F54" s="3"/>
      <c r="G54" s="71" t="str">
        <f t="shared" si="3"/>
        <v>Vul een 'x' in bij de gewenste taal / Entrez un 'x' pour la langue souhaitée</v>
      </c>
      <c r="H54" s="19">
        <v>390</v>
      </c>
      <c r="K54" s="19" t="s">
        <v>143</v>
      </c>
      <c r="L54" s="19" t="s">
        <v>144</v>
      </c>
    </row>
    <row r="55" spans="2:15">
      <c r="B55" s="22" t="s">
        <v>145</v>
      </c>
      <c r="C55" s="22" t="str">
        <f t="shared" si="2"/>
        <v>Vul een 'x' in bij de gewenste taal / Entrez un 'x' pour la langue souhaitée</v>
      </c>
      <c r="D55" s="68"/>
      <c r="E55" s="3" t="str">
        <f>IF(D55="x","Fout, vul een aantal in / Erreur, remplissez un montant",IF($H$1="NL",IF(D55="","",IF(D55&gt;0,IF($D$26="","Kies ook één of meerdere CSC-tool SE",IF(D55&gt;$D$26,"Te veel panelen, kies maximaal een gelijk aantal panelen als het aantal CSC-tool SE","")),"")),IF($H$1="FR",IF(D55="","",IF(D55&gt;0,IF($D$26="","Choisissez également un ou plusieurs CSC-tool SE",IF(D55&gt;$D$26,"Trop de tableaux, choisissez jusqu’à un nombre égal de tableaux comme le nombre de CSC-tool SE","")),"")),"Vul een 'x' in bij de gewenste taal / Entrez un 'x' pour la langue souhaitée")))</f>
        <v>Vul een 'x' in bij de gewenste taal / Entrez un 'x' pour la langue souhaitée</v>
      </c>
      <c r="F55" s="3"/>
      <c r="G55" s="71" t="str">
        <f t="shared" si="3"/>
        <v>Vul een 'x' in bij de gewenste taal / Entrez un 'x' pour la langue souhaitée</v>
      </c>
      <c r="H55" s="19">
        <v>390</v>
      </c>
      <c r="K55" s="19" t="s">
        <v>146</v>
      </c>
      <c r="L55" s="19" t="s">
        <v>147</v>
      </c>
    </row>
    <row r="56" spans="2:15">
      <c r="B56" s="22" t="s">
        <v>148</v>
      </c>
      <c r="C56" s="22" t="str">
        <f t="shared" si="2"/>
        <v>Vul een 'x' in bij de gewenste taal / Entrez un 'x' pour la langue souhaitée</v>
      </c>
      <c r="D56" s="68"/>
      <c r="E56" s="3" t="str">
        <f>IF(D56="x","Fout, vul een aantal in / Erreur, remplissez un montant",IF($H$1="NL",IF(D56="","",IF(D56&gt;0,IF($D$26="","Kies ook één of meerdere CSC-tool SE",IF(D56&gt;$D$26,"Te veel panelen, kies maximaal een gelijk aantal panelen als het aantal CSC-tool SE","")),"")),IF($H$1="FR",IF(D56="","",IF(D56&gt;0,IF($D$26="","Choisissez également un ou plusieurs CSC-tool SE",IF(D56&gt;$D$26,"Trop de tableaux, choisissez jusqu’à un nombre égal de tableaux comme le nombre de CSC-tool SE","")),"")),"Vul een 'x' in bij de gewenste taal / Entrez un 'x' pour la langue souhaitée")))</f>
        <v>Vul een 'x' in bij de gewenste taal / Entrez un 'x' pour la langue souhaitée</v>
      </c>
      <c r="F56" s="3"/>
      <c r="G56" s="71" t="str">
        <f t="shared" si="3"/>
        <v>Vul een 'x' in bij de gewenste taal / Entrez un 'x' pour la langue souhaitée</v>
      </c>
      <c r="H56" s="19">
        <v>390</v>
      </c>
      <c r="K56" s="19" t="s">
        <v>149</v>
      </c>
      <c r="L56" s="19" t="s">
        <v>150</v>
      </c>
    </row>
    <row r="57" spans="2:15">
      <c r="B57" s="22" t="s">
        <v>151</v>
      </c>
      <c r="C57" s="22" t="str">
        <f t="shared" si="2"/>
        <v>Vul een 'x' in bij de gewenste taal / Entrez un 'x' pour la langue souhaitée</v>
      </c>
      <c r="D57" s="68"/>
      <c r="E57" s="3" t="str">
        <f>IF(D57="x","Fout, vul een aantal in / Erreur, remplissez un montant",IF($H$1="NL",IF(D57="","",IF(D57&gt;0,IF($D$26="","Kies ook één of meerdere CSC-tool SE",IF(D57&gt;$D$26,"Te veel panelen, kies maximaal een gelijk aantal panelen als het aantal CSC-tool SE","")),"")),IF($H$1="FR",IF(D57="","",IF(D57&gt;0,IF($D$26="","Choisissez également un ou plusieurs CSC-tool SE",IF(D57&gt;$D$26,"Trop de tableaux, choisissez jusqu’à un nombre égal de tableaux comme le nombre de CSC-tool SE","")),"")),"Vul een 'x' in bij de gewenste taal / Entrez un 'x' pour la langue souhaitée")))</f>
        <v>Vul een 'x' in bij de gewenste taal / Entrez un 'x' pour la langue souhaitée</v>
      </c>
      <c r="F57" s="3"/>
      <c r="G57" s="71" t="str">
        <f t="shared" si="3"/>
        <v>Vul een 'x' in bij de gewenste taal / Entrez un 'x' pour la langue souhaitée</v>
      </c>
      <c r="H57" s="19">
        <v>390</v>
      </c>
      <c r="K57" s="19" t="s">
        <v>152</v>
      </c>
      <c r="L57" s="19" t="s">
        <v>153</v>
      </c>
    </row>
    <row r="58" spans="2:15">
      <c r="B58" s="22" t="s">
        <v>154</v>
      </c>
      <c r="C58" s="22" t="str">
        <f t="shared" si="2"/>
        <v>Vul een 'x' in bij de gewenste taal / Entrez un 'x' pour la langue souhaitée</v>
      </c>
      <c r="D58" s="68"/>
      <c r="E58" s="3" t="str">
        <f>IF(D58="x","Fout, vul een aantal in / Erreur, remplissez un montant",IF($H$1="NL",IF(D58="","",IF(D58&gt;0,IF($D$26="","Kies ook één of meerdere CSC-tool SE",IF(D58&gt;$D$26,"Te veel panelen, kies maximaal een gelijk aantal panelen als het aantal CSC-tool SE","")),"")),IF($H$1="FR",IF(D58="","",IF(D58&gt;0,IF($D$26="","Choisissez également un ou plusieurs CSC-tool SE",IF(D58&gt;$D$26,"Trop de tableaux, choisissez jusqu’à un nombre égal de tableaux comme le nombre de CSC-tool SE","")),"")),"Vul een 'x' in bij de gewenste taal / Entrez un 'x' pour la langue souhaitée")))</f>
        <v>Vul een 'x' in bij de gewenste taal / Entrez un 'x' pour la langue souhaitée</v>
      </c>
      <c r="F58" s="3"/>
      <c r="G58" s="71" t="str">
        <f t="shared" si="3"/>
        <v>Vul een 'x' in bij de gewenste taal / Entrez un 'x' pour la langue souhaitée</v>
      </c>
      <c r="H58" s="19">
        <v>390</v>
      </c>
      <c r="K58" s="19" t="s">
        <v>155</v>
      </c>
      <c r="L58" s="19" t="s">
        <v>156</v>
      </c>
    </row>
    <row r="59" spans="2:15">
      <c r="B59" s="22" t="s">
        <v>157</v>
      </c>
      <c r="C59" s="22" t="str">
        <f t="shared" si="2"/>
        <v>Vul een 'x' in bij de gewenste taal / Entrez un 'x' pour la langue souhaitée</v>
      </c>
      <c r="D59" s="68"/>
      <c r="E59" s="3" t="str">
        <f>IF(D59="x","Fout, vul een aantal in / Erreur, remplissez un montant",IF($H$1="NL",IF(D59="","",IF(D59&gt;0,IF($D$26="","Kies ook één of meerdere CSC-tool SE",IF(D59&gt;$D$26,"Te veel panelen, kies maximaal een gelijk aantal panelen als het aantal CSC-tool SE","")),"")),IF($H$1="FR",IF(D59="","",IF(D59&gt;0,IF($D$26="","Choisissez également un ou plusieurs CSC-tool SE",IF(D59&gt;$D$26,"Trop de tableaux, choisissez jusqu’à un nombre égal de tableaux comme le nombre de CSC-tool SE","")),"")),"Vul een 'x' in bij de gewenste taal / Entrez un 'x' pour la langue souhaitée")))</f>
        <v>Vul een 'x' in bij de gewenste taal / Entrez un 'x' pour la langue souhaitée</v>
      </c>
      <c r="F59" s="3"/>
      <c r="G59" s="71" t="str">
        <f t="shared" si="3"/>
        <v>Vul een 'x' in bij de gewenste taal / Entrez un 'x' pour la langue souhaitée</v>
      </c>
      <c r="H59" s="19">
        <v>390</v>
      </c>
      <c r="K59" s="19" t="s">
        <v>158</v>
      </c>
      <c r="L59" s="19" t="s">
        <v>159</v>
      </c>
    </row>
    <row r="60" spans="2:15">
      <c r="B60" s="22" t="s">
        <v>160</v>
      </c>
      <c r="C60" s="22" t="str">
        <f t="shared" si="2"/>
        <v>Vul een 'x' in bij de gewenste taal / Entrez un 'x' pour la langue souhaitée</v>
      </c>
      <c r="D60" s="68"/>
      <c r="E60" s="3" t="str">
        <f>IF(D60="x","Fout, vul een aantal in / Erreur, remplissez un montant",IF($H$1="NL",IF(D60="","",IF(D60&gt;0,IF($D$26="","Kies ook één of meerdere CSC-tool SE",IF(D60&gt;$D$26,"Te veel panelen, kies maximaal een gelijk aantal panelen als het aantal CSC-tool SE","")),"")),IF($H$1="FR",IF(D60="","",IF(D60&gt;0,IF($D$26="","Choisissez également un ou plusieurs CSC-tool SE",IF(D60&gt;$D$26,"Trop de tableaux, choisissez jusqu’à un nombre égal de tableaux comme le nombre de CSC-tool SE","")),"")),"Vul een 'x' in bij de gewenste taal / Entrez un 'x' pour la langue souhaitée")))</f>
        <v>Vul een 'x' in bij de gewenste taal / Entrez un 'x' pour la langue souhaitée</v>
      </c>
      <c r="F60" s="3"/>
      <c r="G60" s="71" t="str">
        <f t="shared" si="3"/>
        <v>Vul een 'x' in bij de gewenste taal / Entrez un 'x' pour la langue souhaitée</v>
      </c>
      <c r="H60" s="19">
        <v>390</v>
      </c>
      <c r="K60" s="19" t="s">
        <v>161</v>
      </c>
      <c r="L60" s="19" t="s">
        <v>162</v>
      </c>
    </row>
    <row r="61" spans="2:15">
      <c r="B61" s="22" t="s">
        <v>163</v>
      </c>
      <c r="C61" s="22" t="str">
        <f t="shared" si="2"/>
        <v>Vul een 'x' in bij de gewenste taal / Entrez un 'x' pour la langue souhaitée</v>
      </c>
      <c r="D61" s="68"/>
      <c r="E61" s="3" t="str">
        <f>IF(D61="x","Fout, vul een aantal in / Erreur, remplissez un montant",IF($H$1="NL",IF(D61="","",IF(D61&gt;0,IF($D$26="","Kies ook één of meerdere CSC-tool SE",IF(D61&gt;$D$26,"Te veel panelen, kies maximaal een gelijk aantal panelen als het aantal CSC-tool SE","")),"")),IF($H$1="FR",IF(D61="","",IF(D61&gt;0,IF($D$26="","Choisissez également un ou plusieurs CSC-tool SE",IF(D61&gt;$D$26,"Trop de tableaux, choisissez jusqu’à un nombre égal de tableaux comme le nombre de CSC-tool SE","")),"")),"Vul een 'x' in bij de gewenste taal / Entrez un 'x' pour la langue souhaitée")))</f>
        <v>Vul een 'x' in bij de gewenste taal / Entrez un 'x' pour la langue souhaitée</v>
      </c>
      <c r="F61" s="3"/>
      <c r="G61" s="71" t="str">
        <f t="shared" si="3"/>
        <v>Vul een 'x' in bij de gewenste taal / Entrez un 'x' pour la langue souhaitée</v>
      </c>
      <c r="H61" s="19">
        <v>390</v>
      </c>
      <c r="K61" s="19" t="s">
        <v>164</v>
      </c>
      <c r="L61" s="19" t="s">
        <v>165</v>
      </c>
    </row>
    <row r="62" spans="2:15">
      <c r="B62" s="22" t="s">
        <v>166</v>
      </c>
      <c r="C62" s="22" t="str">
        <f t="shared" si="2"/>
        <v>Vul een 'x' in bij de gewenste taal / Entrez un 'x' pour la langue souhaitée</v>
      </c>
      <c r="D62" s="68"/>
      <c r="E62" s="3" t="str">
        <f>IF(D62="x","Fout, vul een aantal in / Erreur, remplissez un montant",IF($H$1="NL",IF(D62="","",IF(D62&gt;0,IF($D$26="","Kies ook één of meerdere CSC-tool SE",IF(D62&gt;$D$26,"Te veel panelen, kies maximaal een gelijk aantal panelen als het aantal CSC-tool SE","")),"")),IF($H$1="FR",IF(D62="","",IF(D62&gt;0,IF($D$26="","Choisissez également un ou plusieurs CSC-tool SE",IF(D62&gt;$D$26,"Trop de tableaux, choisissez jusqu’à un nombre égal de tableaux comme le nombre de CSC-tool SE","")),"")),"Vul een 'x' in bij de gewenste taal / Entrez un 'x' pour la langue souhaitée")))</f>
        <v>Vul een 'x' in bij de gewenste taal / Entrez un 'x' pour la langue souhaitée</v>
      </c>
      <c r="F62" s="3"/>
      <c r="G62" s="71" t="str">
        <f t="shared" si="3"/>
        <v>Vul een 'x' in bij de gewenste taal / Entrez un 'x' pour la langue souhaitée</v>
      </c>
      <c r="H62" s="19">
        <v>390</v>
      </c>
      <c r="K62" s="19" t="s">
        <v>167</v>
      </c>
      <c r="L62" s="19" t="s">
        <v>168</v>
      </c>
    </row>
    <row r="63" spans="2:15">
      <c r="B63" s="22" t="s">
        <v>169</v>
      </c>
      <c r="C63" s="22" t="str">
        <f t="shared" si="2"/>
        <v>Vul een 'x' in bij de gewenste taal / Entrez un 'x' pour la langue souhaitée</v>
      </c>
      <c r="D63" s="68"/>
      <c r="E63" s="3" t="str">
        <f>IF(D63="x","Fout, vul een aantal in / Erreur, remplissez un montant",IF($H$1="NL",IF(D63="","",IF(D63&gt;0,IF($D$26="","Kies ook één of meerdere CSC-tool SE",IF(D63&gt;$D$26,"Te veel panelen, kies maximaal een gelijk aantal panelen als het aantal CSC-tool SE","")),"")),IF($H$1="FR",IF(D63="","",IF(D63&gt;0,IF($D$26="","Choisissez également un ou plusieurs CSC-tool SE",IF(D63&gt;$D$26,"Trop de tableaux, choisissez jusqu’à un nombre égal de tableaux comme le nombre de CSC-tool SE","")),"")),"Vul een 'x' in bij de gewenste taal / Entrez un 'x' pour la langue souhaitée")))</f>
        <v>Vul een 'x' in bij de gewenste taal / Entrez un 'x' pour la langue souhaitée</v>
      </c>
      <c r="F63" s="3"/>
      <c r="G63" s="71" t="str">
        <f t="shared" si="3"/>
        <v>Vul een 'x' in bij de gewenste taal / Entrez un 'x' pour la langue souhaitée</v>
      </c>
      <c r="H63" s="19">
        <v>390</v>
      </c>
      <c r="K63" s="19" t="s">
        <v>170</v>
      </c>
      <c r="L63" s="19" t="s">
        <v>171</v>
      </c>
    </row>
    <row r="64" spans="2:15">
      <c r="B64" s="22" t="s">
        <v>172</v>
      </c>
      <c r="C64" s="22" t="str">
        <f t="shared" si="2"/>
        <v>Vul een 'x' in bij de gewenste taal / Entrez un 'x' pour la langue souhaitée</v>
      </c>
      <c r="D64" s="68"/>
      <c r="E64" s="3" t="str">
        <f>IF(D64="x","Fout, vul een aantal in / Erreur, remplissez un montant",IF($H$1="NL",IF(D64="","",IF(D64&gt;0,IF($D$26="","Kies ook één of meerdere CSC-tool SE",IF(D64&gt;$D$26,"Te veel panelen, kies maximaal een gelijk aantal panelen als het aantal CSC-tool SE","")),"")),IF($H$1="FR",IF(D64="","",IF(D64&gt;0,IF($D$26="","Choisissez également un ou plusieurs CSC-tool SE",IF(D64&gt;$D$26,"Trop de tableaux, choisissez jusqu’à un nombre égal de tableaux comme le nombre de CSC-tool SE","")),"")),"Vul een 'x' in bij de gewenste taal / Entrez un 'x' pour la langue souhaitée")))</f>
        <v>Vul een 'x' in bij de gewenste taal / Entrez un 'x' pour la langue souhaitée</v>
      </c>
      <c r="F64" s="3"/>
      <c r="G64" s="71" t="str">
        <f t="shared" si="3"/>
        <v>Vul een 'x' in bij de gewenste taal / Entrez un 'x' pour la langue souhaitée</v>
      </c>
      <c r="H64" s="19">
        <v>390</v>
      </c>
      <c r="K64" s="19" t="s">
        <v>173</v>
      </c>
      <c r="L64" s="19" t="s">
        <v>174</v>
      </c>
    </row>
    <row r="65" spans="2:15">
      <c r="B65" s="22" t="s">
        <v>175</v>
      </c>
      <c r="C65" s="22" t="str">
        <f t="shared" si="2"/>
        <v>Vul een 'x' in bij de gewenste taal / Entrez un 'x' pour la langue souhaitée</v>
      </c>
      <c r="D65" s="68"/>
      <c r="E65" s="3" t="str">
        <f>IF(D65="x","Fout, vul een aantal in / Erreur, remplissez un montant",IF($H$1="NL",IF(D65="","",IF(D65&gt;0,IF($D$26="","Kies ook één of meerdere CSC-tool SE",IF(D65&gt;$D$26,"Te veel panelen, kies maximaal een gelijk aantal panelen als het aantal CSC-tool SE","")),"")),IF($H$1="FR",IF(D65="","",IF(D65&gt;0,IF($D$26="","Choisissez également un ou plusieurs CSC-tool SE",IF(D65&gt;$D$26,"Trop de tableaux, choisissez jusqu’à un nombre égal de tableaux comme le nombre de CSC-tool SE","")),"")),"Vul een 'x' in bij de gewenste taal / Entrez un 'x' pour la langue souhaitée")))</f>
        <v>Vul een 'x' in bij de gewenste taal / Entrez un 'x' pour la langue souhaitée</v>
      </c>
      <c r="F65" s="3"/>
      <c r="G65" s="71" t="str">
        <f t="shared" si="3"/>
        <v>Vul een 'x' in bij de gewenste taal / Entrez un 'x' pour la langue souhaitée</v>
      </c>
      <c r="H65" s="19">
        <v>390</v>
      </c>
      <c r="K65" s="19" t="s">
        <v>176</v>
      </c>
      <c r="L65" s="19" t="s">
        <v>177</v>
      </c>
    </row>
    <row r="66" spans="2:15">
      <c r="B66" s="22" t="s">
        <v>178</v>
      </c>
      <c r="C66" s="22" t="str">
        <f t="shared" si="2"/>
        <v>Vul een 'x' in bij de gewenste taal / Entrez un 'x' pour la langue souhaitée</v>
      </c>
      <c r="D66" s="68"/>
      <c r="E66" s="3" t="str">
        <f>IF(D66="x","Fout, vul een aantal in / Erreur, remplissez un montant",IF($H$1="NL",IF(D66="","",IF(D66&gt;0,IF($D$26="","Kies ook één of meerdere CSC-tool SE",IF(D66&gt;$D$26,"Te veel panelen, kies maximaal een gelijk aantal panelen als het aantal CSC-tool SE","")),"")),IF($H$1="FR",IF(D66="","",IF(D66&gt;0,IF($D$26="","Choisissez également un ou plusieurs CSC-tool SE",IF(D66&gt;$D$26,"Trop de tableaux, choisissez jusqu’à un nombre égal de tableaux comme le nombre de CSC-tool SE","")),"")),"Vul een 'x' in bij de gewenste taal / Entrez un 'x' pour la langue souhaitée")))</f>
        <v>Vul een 'x' in bij de gewenste taal / Entrez un 'x' pour la langue souhaitée</v>
      </c>
      <c r="F66" s="3"/>
      <c r="G66" s="71" t="str">
        <f t="shared" si="3"/>
        <v>Vul een 'x' in bij de gewenste taal / Entrez un 'x' pour la langue souhaitée</v>
      </c>
      <c r="H66" s="19">
        <v>390</v>
      </c>
      <c r="K66" s="19" t="s">
        <v>179</v>
      </c>
      <c r="L66" s="19" t="s">
        <v>180</v>
      </c>
    </row>
    <row r="67" spans="2:15">
      <c r="B67" s="22" t="s">
        <v>181</v>
      </c>
      <c r="C67" s="22" t="str">
        <f t="shared" si="2"/>
        <v>Vul een 'x' in bij de gewenste taal / Entrez un 'x' pour la langue souhaitée</v>
      </c>
      <c r="D67" s="68"/>
      <c r="E67" s="3" t="str">
        <f>IF(D67="x","Fout, vul een aantal in / Erreur, remplissez un montant",IF($H$1="NL",IF(D67="","",IF(D67&gt;0,IF($D$26="","Kies ook één of meerdere CSC-tool SE",IF(D67&gt;$D$26,"Te veel panelen, kies maximaal een gelijk aantal panelen als het aantal CSC-tool SE","")),"")),IF($H$1="FR",IF(D67="","",IF(D67&gt;0,IF($D$26="","Choisissez également un ou plusieurs CSC-tool SE",IF(D67&gt;$D$26,"Trop de tableaux, choisissez jusqu’à un nombre égal de tableaux comme le nombre de CSC-tool SE","")),"")),"Vul een 'x' in bij de gewenste taal / Entrez un 'x' pour la langue souhaitée")))</f>
        <v>Vul een 'x' in bij de gewenste taal / Entrez un 'x' pour la langue souhaitée</v>
      </c>
      <c r="F67" s="3"/>
      <c r="G67" s="71" t="str">
        <f t="shared" si="3"/>
        <v>Vul een 'x' in bij de gewenste taal / Entrez un 'x' pour la langue souhaitée</v>
      </c>
      <c r="H67" s="19">
        <v>390</v>
      </c>
      <c r="K67" s="19" t="s">
        <v>182</v>
      </c>
      <c r="L67" s="19" t="s">
        <v>183</v>
      </c>
    </row>
    <row r="68" spans="2:15">
      <c r="B68" s="22" t="s">
        <v>184</v>
      </c>
      <c r="C68" s="22" t="str">
        <f t="shared" si="2"/>
        <v>Vul een 'x' in bij de gewenste taal / Entrez un 'x' pour la langue souhaitée</v>
      </c>
      <c r="D68" s="68"/>
      <c r="E68" s="3" t="str">
        <f>IF(D68="x","Fout, vul een aantal in / Erreur, remplissez un montant",IF($H$1="NL",IF(D68="","",IF(D68&gt;0,IF($D$26="","Kies ook één of meerdere CSC-tool SE",IF(D68&gt;$D$26,"Te veel panelen, kies maximaal een gelijk aantal panelen als het aantal CSC-tool SE","")),"")),IF($H$1="FR",IF(D68="","",IF(D68&gt;0,IF($D$26="","Choisissez également un ou plusieurs CSC-tool SE",IF(D68&gt;$D$26,"Trop de tableaux, choisissez jusqu’à un nombre égal de tableaux comme le nombre de CSC-tool SE","")),"")),"Vul een 'x' in bij de gewenste taal / Entrez un 'x' pour la langue souhaitée")))</f>
        <v>Vul een 'x' in bij de gewenste taal / Entrez un 'x' pour la langue souhaitée</v>
      </c>
      <c r="F68" s="3"/>
      <c r="G68" s="71" t="str">
        <f t="shared" si="3"/>
        <v>Vul een 'x' in bij de gewenste taal / Entrez un 'x' pour la langue souhaitée</v>
      </c>
      <c r="H68" s="19">
        <v>390</v>
      </c>
      <c r="K68" s="19" t="s">
        <v>185</v>
      </c>
      <c r="L68" s="19" t="s">
        <v>186</v>
      </c>
    </row>
    <row r="69" spans="2:15">
      <c r="B69" s="22" t="s">
        <v>187</v>
      </c>
      <c r="C69" s="22" t="str">
        <f t="shared" si="2"/>
        <v>Vul een 'x' in bij de gewenste taal / Entrez un 'x' pour la langue souhaitée</v>
      </c>
      <c r="D69" s="68"/>
      <c r="E69" s="3" t="str">
        <f>IF(D69="x","Fout, vul een aantal in / Erreur, remplissez un montant",IF($H$1="NL",IF(D69="","",IF(D69&gt;0,IF($D$26="","Kies ook één of meerdere CSC-tool SE",IF(D69&gt;$D$26,"Te veel panelen, kies maximaal een gelijk aantal panelen als het aantal CSC-tool SE","")),"")),IF($H$1="FR",IF(D69="","",IF(D69&gt;0,IF($D$26="","Choisissez également un ou plusieurs CSC-tool SE",IF(D69&gt;$D$26,"Trop de tableaux, choisissez jusqu’à un nombre égal de tableaux comme le nombre de CSC-tool SE","")),"")),"Vul een 'x' in bij de gewenste taal / Entrez un 'x' pour la langue souhaitée")))</f>
        <v>Vul een 'x' in bij de gewenste taal / Entrez un 'x' pour la langue souhaitée</v>
      </c>
      <c r="F69" s="3"/>
      <c r="G69" s="71" t="str">
        <f t="shared" si="3"/>
        <v>Vul een 'x' in bij de gewenste taal / Entrez un 'x' pour la langue souhaitée</v>
      </c>
      <c r="H69" s="19">
        <v>390</v>
      </c>
      <c r="K69" s="19" t="s">
        <v>188</v>
      </c>
      <c r="L69" s="19" t="s">
        <v>189</v>
      </c>
    </row>
    <row r="70" spans="2:15" s="19" customFormat="1">
      <c r="B70" s="19" t="s">
        <v>95</v>
      </c>
      <c r="C70" s="19" t="s">
        <v>95</v>
      </c>
      <c r="D70" s="19" t="s">
        <v>95</v>
      </c>
      <c r="E70" s="19" t="s">
        <v>95</v>
      </c>
      <c r="F70" s="19" t="s">
        <v>95</v>
      </c>
      <c r="G70" s="74" t="s">
        <v>95</v>
      </c>
    </row>
    <row r="71" spans="2:15" s="17" customFormat="1" ht="12.95">
      <c r="B71" s="59" t="str">
        <f>B$4</f>
        <v>Vul een 'x' in bij de gewenste taal / Entrez un 'x' pour la langue souhaitée</v>
      </c>
      <c r="C71" s="59" t="str">
        <f>IF($H$1="NL",K71,IF($H$1="FR",L71,IF(IF(E68="x",1,0)+IF(E69="x",1,0)&lt;1,"Vul een 'x' in bij de gewenste taal / Entrez un 'x' pour la langue souhaitée",IF(IF(E68="x",1,0)+IF(E69="x",1,0)&gt;1,"Kies maar één taal: zet een 'x' bij de gewenste taal / Choisissez une seule langue : entrez un 'x' pour la langue souhaitée",""))))</f>
        <v>Vul een 'x' in bij de gewenste taal / Entrez un 'x' pour la langue souhaitée</v>
      </c>
      <c r="D71" s="59" t="str">
        <f>D$4</f>
        <v>Vul een 'x' in bij de gewenste taal / Entrez un 'x' pour la langue souhaitée</v>
      </c>
      <c r="E71" s="7" t="str">
        <f>E$4</f>
        <v>Vul een 'x' in bij de gewenste taal / Entrez un 'x' pour la langue souhaitée</v>
      </c>
      <c r="F71" s="6"/>
      <c r="G71" s="57" t="str">
        <f>G$4</f>
        <v>Vul een 'x' in bij de gewenste taal / Entrez un 'x' pour la langue souhaitée</v>
      </c>
      <c r="H71" s="21" t="s">
        <v>130</v>
      </c>
      <c r="I71" s="21"/>
      <c r="J71" s="21"/>
      <c r="K71" s="21" t="s">
        <v>190</v>
      </c>
      <c r="L71" s="21" t="s">
        <v>191</v>
      </c>
      <c r="M71" s="21"/>
      <c r="N71" s="21"/>
      <c r="O71" s="21"/>
    </row>
    <row r="72" spans="2:15">
      <c r="B72" s="23" t="s">
        <v>192</v>
      </c>
      <c r="C72" s="23" t="str">
        <f t="shared" ref="C72:C91" si="4">IF($H$1="NL",K72,IF($H$1="FR",L72,"Vul een 'x' in bij de gewenste taal / Entrez un 'x' pour la langue souhaitée"))</f>
        <v>Vul een 'x' in bij de gewenste taal / Entrez un 'x' pour la langue souhaitée</v>
      </c>
      <c r="D72" s="68"/>
      <c r="E72" s="8" t="str">
        <f>IF(D72="x","Fout, vul een aantal in / Erreur, remplissez un montant",IF($H$1="NL",IF(D72="","",IF(D72&gt;0,IF($D$32="","Kies ook één of meerdere CSC-tool mobile",IF(D72&gt;$D$32,"Te veel panelen, kies maximaal een gelijk aantal panelen als het aantal CSC-tool mobile","")),"")),IF($H$1="FR",IF(D72="","",IF(D72&gt;0,IF($D$32="","Choisissez également un ou plusieurs CSC-tool SE",IF(D72&gt;$D$32,"Trop de tableaux, choisissez jusqu’à un nombre égal de tableaux comme le nombre de CSC-tool mobile","")),"")),"Vul een 'x' in bij de gewenste taal / Entrez un 'x' pour la langue souhaitée")))</f>
        <v>Vul een 'x' in bij de gewenste taal / Entrez un 'x' pour la langue souhaitée</v>
      </c>
      <c r="F72" s="8"/>
      <c r="G72" s="72" t="str">
        <f t="shared" ref="G72:G91" si="5">IF($H$1="NL",IF(E72="Kies ook één of meerdere CSC-tool mobile","Fout, vul gele cellen correct in",IF($D72="","",H72*D72)),IF($H$1="FR",IF(E72="Choisissez également un ou plusieurs CSC-tool mobile","Erreur, remplissez correctement les cellules jaunes",IF($D72="","",H72*D72)),"Vul een 'x' in bij de gewenste taal / Entrez un 'x' pour la langue souhaitée"))</f>
        <v>Vul een 'x' in bij de gewenste taal / Entrez un 'x' pour la langue souhaitée</v>
      </c>
      <c r="H72" s="19">
        <v>440</v>
      </c>
      <c r="K72" s="19" t="s">
        <v>193</v>
      </c>
      <c r="L72" s="19" t="s">
        <v>194</v>
      </c>
    </row>
    <row r="73" spans="2:15">
      <c r="B73" s="23" t="s">
        <v>195</v>
      </c>
      <c r="C73" s="23" t="str">
        <f t="shared" si="4"/>
        <v>Vul een 'x' in bij de gewenste taal / Entrez un 'x' pour la langue souhaitée</v>
      </c>
      <c r="D73" s="68"/>
      <c r="E73" s="8" t="str">
        <f>IF(D73="x","Fout, vul een aantal in / Erreur, remplissez un montant",IF($H$1="NL",IF(D73="","",IF(D73&gt;0,IF($D$32="","Kies ook één of meerdere CSC-tool mobile",IF(D73&gt;$D$32,"Te veel panelen, kies maximaal een gelijk aantal panelen als het aantal CSC-tool mobile","")),"")),IF($H$1="FR",IF(D73="","",IF(D73&gt;0,IF($D$32="","Choisissez également un ou plusieurs CSC-tool SE",IF(D73&gt;$D$32,"Trop de tableaux, choisissez jusqu’à un nombre égal de tableaux comme le nombre de CSC-tool mobile","")),"")),"Vul een 'x' in bij de gewenste taal / Entrez un 'x' pour la langue souhaitée")))</f>
        <v>Vul een 'x' in bij de gewenste taal / Entrez un 'x' pour la langue souhaitée</v>
      </c>
      <c r="F73" s="8"/>
      <c r="G73" s="72" t="str">
        <f t="shared" si="5"/>
        <v>Vul een 'x' in bij de gewenste taal / Entrez un 'x' pour la langue souhaitée</v>
      </c>
      <c r="H73" s="19">
        <v>440</v>
      </c>
      <c r="K73" s="19" t="s">
        <v>196</v>
      </c>
      <c r="L73" s="19" t="s">
        <v>197</v>
      </c>
    </row>
    <row r="74" spans="2:15">
      <c r="B74" s="23" t="s">
        <v>198</v>
      </c>
      <c r="C74" s="23" t="str">
        <f t="shared" si="4"/>
        <v>Vul een 'x' in bij de gewenste taal / Entrez un 'x' pour la langue souhaitée</v>
      </c>
      <c r="D74" s="68"/>
      <c r="E74" s="8" t="str">
        <f>IF(D74="x","Fout, vul een aantal in / Erreur, remplissez un montant",IF($H$1="NL",IF(D74="","",IF(D74&gt;0,IF($D$32="","Kies ook één of meerdere CSC-tool mobile",IF(D74&gt;$D$32,"Te veel panelen, kies maximaal een gelijk aantal panelen als het aantal CSC-tool mobile","")),"")),IF($H$1="FR",IF(D74="","",IF(D74&gt;0,IF($D$32="","Choisissez également un ou plusieurs CSC-tool SE",IF(D74&gt;$D$32,"Trop de tableaux, choisissez jusqu’à un nombre égal de tableaux comme le nombre de CSC-tool mobile","")),"")),"Vul een 'x' in bij de gewenste taal / Entrez un 'x' pour la langue souhaitée")))</f>
        <v>Vul een 'x' in bij de gewenste taal / Entrez un 'x' pour la langue souhaitée</v>
      </c>
      <c r="F74" s="8"/>
      <c r="G74" s="72" t="str">
        <f t="shared" si="5"/>
        <v>Vul een 'x' in bij de gewenste taal / Entrez un 'x' pour la langue souhaitée</v>
      </c>
      <c r="H74" s="19">
        <v>440</v>
      </c>
      <c r="K74" s="19" t="s">
        <v>199</v>
      </c>
      <c r="L74" s="19" t="s">
        <v>200</v>
      </c>
    </row>
    <row r="75" spans="2:15">
      <c r="B75" s="23" t="s">
        <v>201</v>
      </c>
      <c r="C75" s="23" t="str">
        <f t="shared" si="4"/>
        <v>Vul een 'x' in bij de gewenste taal / Entrez un 'x' pour la langue souhaitée</v>
      </c>
      <c r="D75" s="68"/>
      <c r="E75" s="8" t="str">
        <f>IF(D75="x","Fout, vul een aantal in / Erreur, remplissez un montant",IF($H$1="NL",IF(D75="","",IF(D75&gt;0,IF($D$32="","Kies ook één of meerdere CSC-tool mobile",IF(D75&gt;$D$32,"Te veel panelen, kies maximaal een gelijk aantal panelen als het aantal CSC-tool mobile","")),"")),IF($H$1="FR",IF(D75="","",IF(D75&gt;0,IF($D$32="","Choisissez également un ou plusieurs CSC-tool SE",IF(D75&gt;$D$32,"Trop de tableaux, choisissez jusqu’à un nombre égal de tableaux comme le nombre de CSC-tool mobile","")),"")),"Vul een 'x' in bij de gewenste taal / Entrez un 'x' pour la langue souhaitée")))</f>
        <v>Vul een 'x' in bij de gewenste taal / Entrez un 'x' pour la langue souhaitée</v>
      </c>
      <c r="F75" s="8"/>
      <c r="G75" s="72" t="str">
        <f t="shared" si="5"/>
        <v>Vul een 'x' in bij de gewenste taal / Entrez un 'x' pour la langue souhaitée</v>
      </c>
      <c r="H75" s="19">
        <v>440</v>
      </c>
      <c r="K75" s="19" t="s">
        <v>202</v>
      </c>
      <c r="L75" s="19" t="s">
        <v>203</v>
      </c>
    </row>
    <row r="76" spans="2:15">
      <c r="B76" s="23" t="s">
        <v>204</v>
      </c>
      <c r="C76" s="23" t="str">
        <f t="shared" si="4"/>
        <v>Vul een 'x' in bij de gewenste taal / Entrez un 'x' pour la langue souhaitée</v>
      </c>
      <c r="D76" s="68"/>
      <c r="E76" s="8" t="str">
        <f>IF(D76="x","Fout, vul een aantal in / Erreur, remplissez un montant",IF($H$1="NL",IF(D76="","",IF(D76&gt;0,IF($D$32="","Kies ook één of meerdere CSC-tool mobile",IF(D76&gt;$D$32,"Te veel panelen, kies maximaal een gelijk aantal panelen als het aantal CSC-tool mobile","")),"")),IF($H$1="FR",IF(D76="","",IF(D76&gt;0,IF($D$32="","Choisissez également un ou plusieurs CSC-tool SE",IF(D76&gt;$D$32,"Trop de tableaux, choisissez jusqu’à un nombre égal de tableaux comme le nombre de CSC-tool mobile","")),"")),"Vul een 'x' in bij de gewenste taal / Entrez un 'x' pour la langue souhaitée")))</f>
        <v>Vul een 'x' in bij de gewenste taal / Entrez un 'x' pour la langue souhaitée</v>
      </c>
      <c r="F76" s="8"/>
      <c r="G76" s="72" t="str">
        <f t="shared" si="5"/>
        <v>Vul een 'x' in bij de gewenste taal / Entrez un 'x' pour la langue souhaitée</v>
      </c>
      <c r="H76" s="19">
        <v>440</v>
      </c>
      <c r="K76" s="19" t="s">
        <v>205</v>
      </c>
      <c r="L76" s="19" t="s">
        <v>206</v>
      </c>
    </row>
    <row r="77" spans="2:15">
      <c r="B77" s="23" t="s">
        <v>207</v>
      </c>
      <c r="C77" s="23" t="str">
        <f t="shared" si="4"/>
        <v>Vul een 'x' in bij de gewenste taal / Entrez un 'x' pour la langue souhaitée</v>
      </c>
      <c r="D77" s="68"/>
      <c r="E77" s="8" t="str">
        <f>IF(D77="x","Fout, vul een aantal in / Erreur, remplissez un montant",IF($H$1="NL",IF(D77="","",IF(D77&gt;0,IF($D$32="","Kies ook één of meerdere CSC-tool mobile",IF(D77&gt;$D$32,"Te veel panelen, kies maximaal een gelijk aantal panelen als het aantal CSC-tool mobile","")),"")),IF($H$1="FR",IF(D77="","",IF(D77&gt;0,IF($D$32="","Choisissez également un ou plusieurs CSC-tool SE",IF(D77&gt;$D$32,"Trop de tableaux, choisissez jusqu’à un nombre égal de tableaux comme le nombre de CSC-tool mobile","")),"")),"Vul een 'x' in bij de gewenste taal / Entrez un 'x' pour la langue souhaitée")))</f>
        <v>Vul een 'x' in bij de gewenste taal / Entrez un 'x' pour la langue souhaitée</v>
      </c>
      <c r="F77" s="8"/>
      <c r="G77" s="72" t="str">
        <f t="shared" si="5"/>
        <v>Vul een 'x' in bij de gewenste taal / Entrez un 'x' pour la langue souhaitée</v>
      </c>
      <c r="H77" s="19">
        <v>440</v>
      </c>
      <c r="K77" s="19" t="s">
        <v>208</v>
      </c>
      <c r="L77" s="19" t="s">
        <v>209</v>
      </c>
    </row>
    <row r="78" spans="2:15">
      <c r="B78" s="23" t="s">
        <v>210</v>
      </c>
      <c r="C78" s="23" t="str">
        <f t="shared" si="4"/>
        <v>Vul een 'x' in bij de gewenste taal / Entrez un 'x' pour la langue souhaitée</v>
      </c>
      <c r="D78" s="68"/>
      <c r="E78" s="8" t="str">
        <f>IF(D78="x","Fout, vul een aantal in / Erreur, remplissez un montant",IF($H$1="NL",IF(D78="","",IF(D78&gt;0,IF($D$32="","Kies ook één of meerdere CSC-tool mobile",IF(D78&gt;$D$32,"Te veel panelen, kies maximaal een gelijk aantal panelen als het aantal CSC-tool mobile","")),"")),IF($H$1="FR",IF(D78="","",IF(D78&gt;0,IF($D$32="","Choisissez également un ou plusieurs CSC-tool SE",IF(D78&gt;$D$32,"Trop de tableaux, choisissez jusqu’à un nombre égal de tableaux comme le nombre de CSC-tool mobile","")),"")),"Vul een 'x' in bij de gewenste taal / Entrez un 'x' pour la langue souhaitée")))</f>
        <v>Vul een 'x' in bij de gewenste taal / Entrez un 'x' pour la langue souhaitée</v>
      </c>
      <c r="F78" s="8"/>
      <c r="G78" s="72" t="str">
        <f t="shared" si="5"/>
        <v>Vul een 'x' in bij de gewenste taal / Entrez un 'x' pour la langue souhaitée</v>
      </c>
      <c r="H78" s="19">
        <v>440</v>
      </c>
      <c r="K78" s="19" t="s">
        <v>211</v>
      </c>
      <c r="L78" s="19" t="s">
        <v>212</v>
      </c>
    </row>
    <row r="79" spans="2:15">
      <c r="B79" s="23" t="s">
        <v>213</v>
      </c>
      <c r="C79" s="23" t="str">
        <f t="shared" si="4"/>
        <v>Vul een 'x' in bij de gewenste taal / Entrez un 'x' pour la langue souhaitée</v>
      </c>
      <c r="D79" s="68"/>
      <c r="E79" s="8" t="str">
        <f>IF(D79="x","Fout, vul een aantal in / Erreur, remplissez un montant",IF($H$1="NL",IF(D79="","",IF(D79&gt;0,IF($D$32="","Kies ook één of meerdere CSC-tool mobile",IF(D79&gt;$D$32,"Te veel panelen, kies maximaal een gelijk aantal panelen als het aantal CSC-tool mobile","")),"")),IF($H$1="FR",IF(D79="","",IF(D79&gt;0,IF($D$32="","Choisissez également un ou plusieurs CSC-tool SE",IF(D79&gt;$D$32,"Trop de tableaux, choisissez jusqu’à un nombre égal de tableaux comme le nombre de CSC-tool mobile","")),"")),"Vul een 'x' in bij de gewenste taal / Entrez un 'x' pour la langue souhaitée")))</f>
        <v>Vul een 'x' in bij de gewenste taal / Entrez un 'x' pour la langue souhaitée</v>
      </c>
      <c r="F79" s="8"/>
      <c r="G79" s="72" t="str">
        <f t="shared" si="5"/>
        <v>Vul een 'x' in bij de gewenste taal / Entrez un 'x' pour la langue souhaitée</v>
      </c>
      <c r="H79" s="19">
        <v>440</v>
      </c>
      <c r="K79" s="19" t="s">
        <v>214</v>
      </c>
      <c r="L79" s="19" t="s">
        <v>215</v>
      </c>
    </row>
    <row r="80" spans="2:15">
      <c r="B80" s="23" t="s">
        <v>216</v>
      </c>
      <c r="C80" s="23" t="str">
        <f t="shared" si="4"/>
        <v>Vul een 'x' in bij de gewenste taal / Entrez un 'x' pour la langue souhaitée</v>
      </c>
      <c r="D80" s="68"/>
      <c r="E80" s="8" t="str">
        <f>IF(D80="x","Fout, vul een aantal in / Erreur, remplissez un montant",IF($H$1="NL",IF(D80="","",IF(D80&gt;0,IF($D$32="","Kies ook één of meerdere CSC-tool mobile",IF(D80&gt;$D$32,"Te veel panelen, kies maximaal een gelijk aantal panelen als het aantal CSC-tool mobile","")),"")),IF($H$1="FR",IF(D80="","",IF(D80&gt;0,IF($D$32="","Choisissez également un ou plusieurs CSC-tool SE",IF(D80&gt;$D$32,"Trop de tableaux, choisissez jusqu’à un nombre égal de tableaux comme le nombre de CSC-tool mobile","")),"")),"Vul een 'x' in bij de gewenste taal / Entrez un 'x' pour la langue souhaitée")))</f>
        <v>Vul een 'x' in bij de gewenste taal / Entrez un 'x' pour la langue souhaitée</v>
      </c>
      <c r="F80" s="8"/>
      <c r="G80" s="72" t="str">
        <f t="shared" si="5"/>
        <v>Vul een 'x' in bij de gewenste taal / Entrez un 'x' pour la langue souhaitée</v>
      </c>
      <c r="H80" s="19">
        <v>440</v>
      </c>
      <c r="K80" s="19" t="s">
        <v>217</v>
      </c>
      <c r="L80" s="19" t="s">
        <v>218</v>
      </c>
    </row>
    <row r="81" spans="2:15">
      <c r="B81" s="23" t="s">
        <v>219</v>
      </c>
      <c r="C81" s="23" t="str">
        <f t="shared" si="4"/>
        <v>Vul een 'x' in bij de gewenste taal / Entrez un 'x' pour la langue souhaitée</v>
      </c>
      <c r="D81" s="68"/>
      <c r="E81" s="8" t="str">
        <f>IF(D81="x","Fout, vul een aantal in / Erreur, remplissez un montant",IF($H$1="NL",IF(D81="","",IF(D81&gt;0,IF($D$32="","Kies ook één of meerdere CSC-tool mobile",IF(D81&gt;$D$32,"Te veel panelen, kies maximaal een gelijk aantal panelen als het aantal CSC-tool mobile","")),"")),IF($H$1="FR",IF(D81="","",IF(D81&gt;0,IF($D$32="","Choisissez également un ou plusieurs CSC-tool SE",IF(D81&gt;$D$32,"Trop de tableaux, choisissez jusqu’à un nombre égal de tableaux comme le nombre de CSC-tool mobile","")),"")),"Vul een 'x' in bij de gewenste taal / Entrez un 'x' pour la langue souhaitée")))</f>
        <v>Vul een 'x' in bij de gewenste taal / Entrez un 'x' pour la langue souhaitée</v>
      </c>
      <c r="F81" s="8"/>
      <c r="G81" s="72" t="str">
        <f t="shared" si="5"/>
        <v>Vul een 'x' in bij de gewenste taal / Entrez un 'x' pour la langue souhaitée</v>
      </c>
      <c r="H81" s="19">
        <v>440</v>
      </c>
      <c r="K81" s="19" t="s">
        <v>220</v>
      </c>
      <c r="L81" s="19" t="s">
        <v>221</v>
      </c>
    </row>
    <row r="82" spans="2:15">
      <c r="B82" s="23" t="s">
        <v>222</v>
      </c>
      <c r="C82" s="23" t="str">
        <f t="shared" si="4"/>
        <v>Vul een 'x' in bij de gewenste taal / Entrez un 'x' pour la langue souhaitée</v>
      </c>
      <c r="D82" s="68"/>
      <c r="E82" s="8" t="str">
        <f>IF(D82="x","Fout, vul een aantal in / Erreur, remplissez un montant",IF($H$1="NL",IF(D82="","",IF(D82&gt;0,IF($D$32="","Kies ook één of meerdere CSC-tool mobile",IF(D82&gt;$D$32,"Te veel panelen, kies maximaal een gelijk aantal panelen als het aantal CSC-tool mobile","")),"")),IF($H$1="FR",IF(D82="","",IF(D82&gt;0,IF($D$32="","Choisissez également un ou plusieurs CSC-tool SE",IF(D82&gt;$D$32,"Trop de tableaux, choisissez jusqu’à un nombre égal de tableaux comme le nombre de CSC-tool mobile","")),"")),"Vul een 'x' in bij de gewenste taal / Entrez un 'x' pour la langue souhaitée")))</f>
        <v>Vul een 'x' in bij de gewenste taal / Entrez un 'x' pour la langue souhaitée</v>
      </c>
      <c r="F82" s="8"/>
      <c r="G82" s="72" t="str">
        <f t="shared" si="5"/>
        <v>Vul een 'x' in bij de gewenste taal / Entrez un 'x' pour la langue souhaitée</v>
      </c>
      <c r="H82" s="19">
        <v>440</v>
      </c>
      <c r="K82" s="19" t="s">
        <v>223</v>
      </c>
      <c r="L82" s="19" t="s">
        <v>224</v>
      </c>
    </row>
    <row r="83" spans="2:15">
      <c r="B83" s="23" t="s">
        <v>225</v>
      </c>
      <c r="C83" s="23" t="str">
        <f t="shared" si="4"/>
        <v>Vul een 'x' in bij de gewenste taal / Entrez un 'x' pour la langue souhaitée</v>
      </c>
      <c r="D83" s="68"/>
      <c r="E83" s="8" t="str">
        <f>IF(D83="x","Fout, vul een aantal in / Erreur, remplissez un montant",IF($H$1="NL",IF(D83="","",IF(D83&gt;0,IF($D$32="","Kies ook één of meerdere CSC-tool mobile",IF(D83&gt;$D$32,"Te veel panelen, kies maximaal een gelijk aantal panelen als het aantal CSC-tool mobile","")),"")),IF($H$1="FR",IF(D83="","",IF(D83&gt;0,IF($D$32="","Choisissez également un ou plusieurs CSC-tool SE",IF(D83&gt;$D$32,"Trop de tableaux, choisissez jusqu’à un nombre égal de tableaux comme le nombre de CSC-tool mobile","")),"")),"Vul een 'x' in bij de gewenste taal / Entrez un 'x' pour la langue souhaitée")))</f>
        <v>Vul een 'x' in bij de gewenste taal / Entrez un 'x' pour la langue souhaitée</v>
      </c>
      <c r="F83" s="8"/>
      <c r="G83" s="72" t="str">
        <f t="shared" si="5"/>
        <v>Vul een 'x' in bij de gewenste taal / Entrez un 'x' pour la langue souhaitée</v>
      </c>
      <c r="H83" s="19">
        <v>440</v>
      </c>
      <c r="K83" s="19" t="s">
        <v>226</v>
      </c>
      <c r="L83" s="19" t="s">
        <v>227</v>
      </c>
    </row>
    <row r="84" spans="2:15">
      <c r="B84" s="23" t="s">
        <v>228</v>
      </c>
      <c r="C84" s="23" t="str">
        <f t="shared" si="4"/>
        <v>Vul een 'x' in bij de gewenste taal / Entrez un 'x' pour la langue souhaitée</v>
      </c>
      <c r="D84" s="68"/>
      <c r="E84" s="8" t="str">
        <f>IF(D84="x","Fout, vul een aantal in / Erreur, remplissez un montant",IF($H$1="NL",IF(D84="","",IF(D84&gt;0,IF($D$32="","Kies ook één of meerdere CSC-tool mobile",IF(D84&gt;$D$32,"Te veel panelen, kies maximaal een gelijk aantal panelen als het aantal CSC-tool mobile","")),"")),IF($H$1="FR",IF(D84="","",IF(D84&gt;0,IF($D$32="","Choisissez également un ou plusieurs CSC-tool SE",IF(D84&gt;$D$32,"Trop de tableaux, choisissez jusqu’à un nombre égal de tableaux comme le nombre de CSC-tool mobile","")),"")),"Vul een 'x' in bij de gewenste taal / Entrez un 'x' pour la langue souhaitée")))</f>
        <v>Vul een 'x' in bij de gewenste taal / Entrez un 'x' pour la langue souhaitée</v>
      </c>
      <c r="F84" s="8"/>
      <c r="G84" s="72" t="str">
        <f t="shared" si="5"/>
        <v>Vul een 'x' in bij de gewenste taal / Entrez un 'x' pour la langue souhaitée</v>
      </c>
      <c r="H84" s="19">
        <v>440</v>
      </c>
      <c r="K84" s="19" t="s">
        <v>229</v>
      </c>
      <c r="L84" s="19" t="s">
        <v>230</v>
      </c>
    </row>
    <row r="85" spans="2:15">
      <c r="B85" s="23" t="s">
        <v>231</v>
      </c>
      <c r="C85" s="23" t="str">
        <f t="shared" si="4"/>
        <v>Vul een 'x' in bij de gewenste taal / Entrez un 'x' pour la langue souhaitée</v>
      </c>
      <c r="D85" s="68"/>
      <c r="E85" s="8" t="str">
        <f>IF(D85="x","Fout, vul een aantal in / Erreur, remplissez un montant",IF($H$1="NL",IF(D85="","",IF(D85&gt;0,IF($D$32="","Kies ook één of meerdere CSC-tool mobile",IF(D85&gt;$D$32,"Te veel panelen, kies maximaal een gelijk aantal panelen als het aantal CSC-tool mobile","")),"")),IF($H$1="FR",IF(D85="","",IF(D85&gt;0,IF($D$32="","Choisissez également un ou plusieurs CSC-tool SE",IF(D85&gt;$D$32,"Trop de tableaux, choisissez jusqu’à un nombre égal de tableaux comme le nombre de CSC-tool mobile","")),"")),"Vul een 'x' in bij de gewenste taal / Entrez un 'x' pour la langue souhaitée")))</f>
        <v>Vul een 'x' in bij de gewenste taal / Entrez un 'x' pour la langue souhaitée</v>
      </c>
      <c r="F85" s="8"/>
      <c r="G85" s="72" t="str">
        <f t="shared" si="5"/>
        <v>Vul een 'x' in bij de gewenste taal / Entrez un 'x' pour la langue souhaitée</v>
      </c>
      <c r="H85" s="19">
        <v>440</v>
      </c>
      <c r="K85" s="19" t="s">
        <v>232</v>
      </c>
      <c r="L85" s="19" t="s">
        <v>233</v>
      </c>
    </row>
    <row r="86" spans="2:15">
      <c r="B86" s="23" t="s">
        <v>234</v>
      </c>
      <c r="C86" s="23" t="str">
        <f t="shared" si="4"/>
        <v>Vul een 'x' in bij de gewenste taal / Entrez un 'x' pour la langue souhaitée</v>
      </c>
      <c r="D86" s="68"/>
      <c r="E86" s="8" t="str">
        <f>IF(D86="x","Fout, vul een aantal in / Erreur, remplissez un montant",IF($H$1="NL",IF(D86="","",IF(D86&gt;0,IF($D$32="","Kies ook één of meerdere CSC-tool mobile",IF(D86&gt;$D$32,"Te veel panelen, kies maximaal een gelijk aantal panelen als het aantal CSC-tool mobile","")),"")),IF($H$1="FR",IF(D86="","",IF(D86&gt;0,IF($D$32="","Choisissez également un ou plusieurs CSC-tool SE",IF(D86&gt;$D$32,"Trop de tableaux, choisissez jusqu’à un nombre égal de tableaux comme le nombre de CSC-tool mobile","")),"")),"Vul een 'x' in bij de gewenste taal / Entrez un 'x' pour la langue souhaitée")))</f>
        <v>Vul een 'x' in bij de gewenste taal / Entrez un 'x' pour la langue souhaitée</v>
      </c>
      <c r="F86" s="8"/>
      <c r="G86" s="72" t="str">
        <f t="shared" si="5"/>
        <v>Vul een 'x' in bij de gewenste taal / Entrez un 'x' pour la langue souhaitée</v>
      </c>
      <c r="H86" s="19">
        <v>440</v>
      </c>
      <c r="K86" s="19" t="s">
        <v>235</v>
      </c>
      <c r="L86" s="19" t="s">
        <v>236</v>
      </c>
    </row>
    <row r="87" spans="2:15">
      <c r="B87" s="23" t="s">
        <v>237</v>
      </c>
      <c r="C87" s="23" t="str">
        <f t="shared" si="4"/>
        <v>Vul een 'x' in bij de gewenste taal / Entrez un 'x' pour la langue souhaitée</v>
      </c>
      <c r="D87" s="68"/>
      <c r="E87" s="8" t="str">
        <f>IF(D87="x","Fout, vul een aantal in / Erreur, remplissez un montant",IF($H$1="NL",IF(D87="","",IF(D87&gt;0,IF($D$32="","Kies ook één of meerdere CSC-tool mobile",IF(D87&gt;$D$32,"Te veel panelen, kies maximaal een gelijk aantal panelen als het aantal CSC-tool mobile","")),"")),IF($H$1="FR",IF(D87="","",IF(D87&gt;0,IF($D$32="","Choisissez également un ou plusieurs CSC-tool SE",IF(D87&gt;$D$32,"Trop de tableaux, choisissez jusqu’à un nombre égal de tableaux comme le nombre de CSC-tool mobile","")),"")),"Vul een 'x' in bij de gewenste taal / Entrez un 'x' pour la langue souhaitée")))</f>
        <v>Vul een 'x' in bij de gewenste taal / Entrez un 'x' pour la langue souhaitée</v>
      </c>
      <c r="F87" s="8"/>
      <c r="G87" s="72" t="str">
        <f t="shared" si="5"/>
        <v>Vul een 'x' in bij de gewenste taal / Entrez un 'x' pour la langue souhaitée</v>
      </c>
      <c r="H87" s="19">
        <v>440</v>
      </c>
      <c r="K87" s="19" t="s">
        <v>238</v>
      </c>
      <c r="L87" s="19" t="s">
        <v>239</v>
      </c>
    </row>
    <row r="88" spans="2:15">
      <c r="B88" s="23" t="s">
        <v>240</v>
      </c>
      <c r="C88" s="23" t="str">
        <f t="shared" si="4"/>
        <v>Vul een 'x' in bij de gewenste taal / Entrez un 'x' pour la langue souhaitée</v>
      </c>
      <c r="D88" s="68"/>
      <c r="E88" s="8" t="str">
        <f>IF(D88="x","Fout, vul een aantal in / Erreur, remplissez un montant",IF($H$1="NL",IF(D88="","",IF(D88&gt;0,IF($D$32="","Kies ook één of meerdere CSC-tool mobile",IF(D88&gt;$D$32,"Te veel panelen, kies maximaal een gelijk aantal panelen als het aantal CSC-tool mobile","")),"")),IF($H$1="FR",IF(D88="","",IF(D88&gt;0,IF($D$32="","Choisissez également un ou plusieurs CSC-tool SE",IF(D88&gt;$D$32,"Trop de tableaux, choisissez jusqu’à un nombre égal de tableaux comme le nombre de CSC-tool mobile","")),"")),"Vul een 'x' in bij de gewenste taal / Entrez un 'x' pour la langue souhaitée")))</f>
        <v>Vul een 'x' in bij de gewenste taal / Entrez un 'x' pour la langue souhaitée</v>
      </c>
      <c r="F88" s="8"/>
      <c r="G88" s="72" t="str">
        <f t="shared" si="5"/>
        <v>Vul een 'x' in bij de gewenste taal / Entrez un 'x' pour la langue souhaitée</v>
      </c>
      <c r="H88" s="19">
        <v>440</v>
      </c>
      <c r="K88" s="19" t="s">
        <v>241</v>
      </c>
      <c r="L88" s="19" t="s">
        <v>242</v>
      </c>
    </row>
    <row r="89" spans="2:15">
      <c r="B89" s="23" t="s">
        <v>243</v>
      </c>
      <c r="C89" s="23" t="str">
        <f t="shared" si="4"/>
        <v>Vul een 'x' in bij de gewenste taal / Entrez un 'x' pour la langue souhaitée</v>
      </c>
      <c r="D89" s="68"/>
      <c r="E89" s="8" t="str">
        <f>IF(D89="x","Fout, vul een aantal in / Erreur, remplissez un montant",IF($H$1="NL",IF(D89="","",IF(D89&gt;0,IF($D$32="","Kies ook één of meerdere CSC-tool mobile",IF(D89&gt;$D$32,"Te veel panelen, kies maximaal een gelijk aantal panelen als het aantal CSC-tool mobile","")),"")),IF($H$1="FR",IF(D89="","",IF(D89&gt;0,IF($D$32="","Choisissez également un ou plusieurs CSC-tool SE",IF(D89&gt;$D$32,"Trop de tableaux, choisissez jusqu’à un nombre égal de tableaux comme le nombre de CSC-tool mobile","")),"")),"Vul een 'x' in bij de gewenste taal / Entrez un 'x' pour la langue souhaitée")))</f>
        <v>Vul een 'x' in bij de gewenste taal / Entrez un 'x' pour la langue souhaitée</v>
      </c>
      <c r="F89" s="8"/>
      <c r="G89" s="72" t="str">
        <f t="shared" si="5"/>
        <v>Vul een 'x' in bij de gewenste taal / Entrez un 'x' pour la langue souhaitée</v>
      </c>
      <c r="H89" s="19">
        <v>440</v>
      </c>
      <c r="K89" s="19" t="s">
        <v>244</v>
      </c>
      <c r="L89" s="19" t="s">
        <v>245</v>
      </c>
    </row>
    <row r="90" spans="2:15">
      <c r="B90" s="23" t="s">
        <v>246</v>
      </c>
      <c r="C90" s="23" t="str">
        <f t="shared" si="4"/>
        <v>Vul een 'x' in bij de gewenste taal / Entrez un 'x' pour la langue souhaitée</v>
      </c>
      <c r="D90" s="68"/>
      <c r="E90" s="8" t="str">
        <f>IF(D90="x","Fout, vul een aantal in / Erreur, remplissez un montant",IF($H$1="NL",IF(D90="","",IF(D90&gt;0,IF($D$32="","Kies ook één of meerdere CSC-tool mobile",IF(D90&gt;$D$32,"Te veel panelen, kies maximaal een gelijk aantal panelen als het aantal CSC-tool mobile","")),"")),IF($H$1="FR",IF(D90="","",IF(D90&gt;0,IF($D$32="","Choisissez également un ou plusieurs CSC-tool SE",IF(D90&gt;$D$32,"Trop de tableaux, choisissez jusqu’à un nombre égal de tableaux comme le nombre de CSC-tool mobile","")),"")),"Vul een 'x' in bij de gewenste taal / Entrez un 'x' pour la langue souhaitée")))</f>
        <v>Vul een 'x' in bij de gewenste taal / Entrez un 'x' pour la langue souhaitée</v>
      </c>
      <c r="F90" s="8"/>
      <c r="G90" s="72" t="str">
        <f t="shared" si="5"/>
        <v>Vul een 'x' in bij de gewenste taal / Entrez un 'x' pour la langue souhaitée</v>
      </c>
      <c r="H90" s="19">
        <v>440</v>
      </c>
      <c r="K90" s="19" t="s">
        <v>247</v>
      </c>
      <c r="L90" s="19" t="s">
        <v>248</v>
      </c>
    </row>
    <row r="91" spans="2:15">
      <c r="B91" s="23" t="s">
        <v>249</v>
      </c>
      <c r="C91" s="23" t="str">
        <f t="shared" si="4"/>
        <v>Vul een 'x' in bij de gewenste taal / Entrez un 'x' pour la langue souhaitée</v>
      </c>
      <c r="D91" s="68"/>
      <c r="E91" s="8" t="str">
        <f>IF(D91="x","Fout, vul een aantal in / Erreur, remplissez un montant",IF($H$1="NL",IF(D91="","",IF(D91&gt;0,IF($D$32="","Kies ook één of meerdere CSC-tool mobile",IF(D91&gt;$D$32,"Te veel panelen, kies maximaal een gelijk aantal panelen als het aantal CSC-tool mobile","")),"")),IF($H$1="FR",IF(D91="","",IF(D91&gt;0,IF($D$32="","Choisissez également un ou plusieurs CSC-tool SE",IF(D91&gt;$D$32,"Trop de tableaux, choisissez jusqu’à un nombre égal de tableaux comme le nombre de CSC-tool mobile","")),"")),"Vul een 'x' in bij de gewenste taal / Entrez un 'x' pour la langue souhaitée")))</f>
        <v>Vul een 'x' in bij de gewenste taal / Entrez un 'x' pour la langue souhaitée</v>
      </c>
      <c r="F91" s="8"/>
      <c r="G91" s="72" t="str">
        <f t="shared" si="5"/>
        <v>Vul een 'x' in bij de gewenste taal / Entrez un 'x' pour la langue souhaitée</v>
      </c>
      <c r="H91" s="19">
        <v>440</v>
      </c>
      <c r="K91" s="19" t="s">
        <v>250</v>
      </c>
      <c r="L91" s="19" t="s">
        <v>251</v>
      </c>
    </row>
    <row r="92" spans="2:15" s="19" customFormat="1">
      <c r="B92" s="19" t="s">
        <v>95</v>
      </c>
      <c r="C92" s="19" t="s">
        <v>95</v>
      </c>
      <c r="D92" s="19" t="s">
        <v>95</v>
      </c>
      <c r="E92" s="19" t="s">
        <v>95</v>
      </c>
      <c r="F92" s="19" t="s">
        <v>95</v>
      </c>
      <c r="G92" s="74" t="s">
        <v>95</v>
      </c>
    </row>
    <row r="93" spans="2:15" s="17" customFormat="1" ht="12.95">
      <c r="B93" s="60" t="str">
        <f>B$4</f>
        <v>Vul een 'x' in bij de gewenste taal / Entrez un 'x' pour la langue souhaitée</v>
      </c>
      <c r="C93" s="60" t="str">
        <f>IF($H$1="NL",K93,IF($H$1="FR",L93,IF(IF(E90="x",1,0)+IF(E91="x",1,0)&lt;1,"Vul een 'x' in bij de gewenste taal / Entrez un 'x' pour la langue souhaitée",IF(IF(E90="x",1,0)+IF(E91="x",1,0)&gt;1,"Kies maar één taal: zet een 'x' bij de gewenste taal / Choisissez une seule langue : entrez un 'x' pour la langue souhaitée",""))))</f>
        <v>Vul een 'x' in bij de gewenste taal / Entrez un 'x' pour la langue souhaitée</v>
      </c>
      <c r="D93" s="60" t="str">
        <f>D$4</f>
        <v>Vul een 'x' in bij de gewenste taal / Entrez un 'x' pour la langue souhaitée</v>
      </c>
      <c r="E93" s="5" t="str">
        <f>E$4</f>
        <v>Vul een 'x' in bij de gewenste taal / Entrez un 'x' pour la langue souhaitée</v>
      </c>
      <c r="F93" s="5"/>
      <c r="G93" s="58" t="str">
        <f>G$4</f>
        <v>Vul een 'x' in bij de gewenste taal / Entrez un 'x' pour la langue souhaitée</v>
      </c>
      <c r="H93" s="21" t="s">
        <v>130</v>
      </c>
      <c r="I93" s="21"/>
      <c r="J93" s="21"/>
      <c r="K93" s="21" t="s">
        <v>252</v>
      </c>
      <c r="L93" s="21" t="s">
        <v>253</v>
      </c>
      <c r="M93" s="21"/>
      <c r="N93" s="21"/>
      <c r="O93" s="21"/>
    </row>
    <row r="94" spans="2:15">
      <c r="B94" s="24" t="s">
        <v>254</v>
      </c>
      <c r="C94" s="24" t="str">
        <f t="shared" ref="C94:C109" si="6">IF($H$1="NL",K94,IF($H$1="FR",L94,"Vul een 'x' in bij de gewenste taal / Entrez un 'x' pour la langue souhaitée"))</f>
        <v>Vul een 'x' in bij de gewenste taal / Entrez un 'x' pour la langue souhaitée</v>
      </c>
      <c r="D94" s="68"/>
      <c r="E94" s="4" t="str">
        <f>IF(D94="x","Fout, vul een aantal in / Erreur, remplissez un montant",IF($H$1="NL",IF(D94="","",IF(D94&gt;0,IF(($D$26+$D$37)=0,"Kies ook minimaal één CSC-tool SE en/of CSC-tool digital",IF(D94&gt;($D$26+$D$37),CONCATENATE("Te veel ",C94,", kies maximaal een gelijk aantal ",C94," als het aantal CSC-tool SE + CSC-tool mobile"),"")),"")),IF($H$1="FR",IF(D94="","",IF(D94&gt;0,IF(($D$26+$D$37)=0,"Choisissez également un ou plusieurs CSC-tool SE et/ou CSC-tool mobile",IF(D94&gt;($D$26+$D$37),CONCATENATE("Trop de ",C94,", choisissez jusqu’à un nombre égal de ",C94," comme le nombre de CSC-tool SE + CSC-tool mobile"),"")),"")),"Vul een 'x' in bij de gewenste taal / Entrez un 'x' pour la langue souhaitée")))</f>
        <v>Vul een 'x' in bij de gewenste taal / Entrez un 'x' pour la langue souhaitée</v>
      </c>
      <c r="F94" s="4"/>
      <c r="G94" s="73" t="str">
        <f t="shared" ref="G94:G109" si="7">IF($H$1="NL",IF(E94="Kies ook minimaal één CSC-tool SE en/of CSC-tool digital","Fout, vul gele cellen correct in",IF($D94="","",H94*D94)),IF($H$1="FR",IF(E94="Choisissez également au moins un CSC-tool SE et/ou CSC-tool digital","Erreur, remplissez correctement les cellules jaunes",IF($D94="","",H94*D94)),"Vul een 'x' in bij de gewenste taal / Entrez un 'x' pour la langue souhaitée"))</f>
        <v>Vul een 'x' in bij de gewenste taal / Entrez un 'x' pour la langue souhaitée</v>
      </c>
      <c r="H94" s="19">
        <v>1290</v>
      </c>
      <c r="K94" s="19" t="s">
        <v>255</v>
      </c>
      <c r="L94" s="19" t="s">
        <v>255</v>
      </c>
    </row>
    <row r="95" spans="2:15">
      <c r="B95" s="24" t="s">
        <v>256</v>
      </c>
      <c r="C95" s="24" t="str">
        <f t="shared" si="6"/>
        <v>Vul een 'x' in bij de gewenste taal / Entrez un 'x' pour la langue souhaitée</v>
      </c>
      <c r="D95" s="68"/>
      <c r="E95" s="4" t="str">
        <f>IF(D95="x","Fout, vul een aantal in / Erreur, remplissez un montant",IF($H$1="NL",IF(D95="","",IF(D95&gt;0,IF(($D$26+$D$37)=0,"Kies ook minimaal één CSC-tool SE en/of CSC-tool digital",IF(D95&gt;($D$26+$D$37),CONCATENATE("Te veel ",C95,", kies maximaal een gelijk aantal ",C95," als het aantal CSC-tool SE + CSC-tool mobile"),"")),"")),IF($H$1="FR",IF(D95="","",IF(D95&gt;0,IF(($D$26+$D$37)=0,"Choisissez également un ou plusieurs CSC-tool SE et/ou CSC-tool mobile",IF(D95&gt;($D$26+$D$37),CONCATENATE("Trop de ",C95,", choisissez jusqu’à un nombre égal de ",C95," comme le nombre de CSC-tool SE + CSC-tool mobile"),"")),"")),"Vul een 'x' in bij de gewenste taal / Entrez un 'x' pour la langue souhaitée")))</f>
        <v>Vul een 'x' in bij de gewenste taal / Entrez un 'x' pour la langue souhaitée</v>
      </c>
      <c r="F95" s="4"/>
      <c r="G95" s="73" t="str">
        <f t="shared" si="7"/>
        <v>Vul een 'x' in bij de gewenste taal / Entrez un 'x' pour la langue souhaitée</v>
      </c>
      <c r="H95" s="19">
        <v>1390</v>
      </c>
      <c r="K95" s="19" t="s">
        <v>257</v>
      </c>
      <c r="L95" s="19" t="s">
        <v>258</v>
      </c>
    </row>
    <row r="96" spans="2:15">
      <c r="B96" s="24" t="s">
        <v>259</v>
      </c>
      <c r="C96" s="24" t="str">
        <f t="shared" si="6"/>
        <v>Vul een 'x' in bij de gewenste taal / Entrez un 'x' pour la langue souhaitée</v>
      </c>
      <c r="D96" s="68"/>
      <c r="E96" s="4" t="str">
        <f>IF(D96="x","Fout, vul een aantal in / Erreur, remplissez un montant",IF($H$1="NL",IF(D96="","",IF(D96&gt;0,IF(($D$26+$D$37)=0,"Kies ook minimaal één CSC-tool SE en/of CSC-tool digital",IF(D96&gt;($D$26+$D$37),CONCATENATE("Te veel ",C96,", kies maximaal een gelijk aantal ",C96," als het aantal CSC-tool SE + CSC-tool mobile"),"")),"")),IF($H$1="FR",IF(D96="","",IF(D96&gt;0,IF(($D$26+$D$37)=0,"Choisissez également un ou plusieurs CSC-tool SE et/ou CSC-tool mobile",IF(D96&gt;($D$26+$D$37),CONCATENATE("Trop de ",C96,", choisissez jusqu’à un nombre égal de ",C96," comme le nombre de CSC-tool SE + CSC-tool mobile"),"")),"")),"Vul een 'x' in bij de gewenste taal / Entrez un 'x' pour la langue souhaitée")))</f>
        <v>Vul een 'x' in bij de gewenste taal / Entrez un 'x' pour la langue souhaitée</v>
      </c>
      <c r="F96" s="4"/>
      <c r="G96" s="73" t="str">
        <f t="shared" si="7"/>
        <v>Vul een 'x' in bij de gewenste taal / Entrez un 'x' pour la langue souhaitée</v>
      </c>
      <c r="H96" s="19">
        <v>1390</v>
      </c>
      <c r="K96" s="19" t="s">
        <v>260</v>
      </c>
      <c r="L96" s="19" t="s">
        <v>261</v>
      </c>
    </row>
    <row r="97" spans="2:12">
      <c r="B97" s="24" t="s">
        <v>262</v>
      </c>
      <c r="C97" s="24" t="str">
        <f t="shared" si="6"/>
        <v>Vul een 'x' in bij de gewenste taal / Entrez un 'x' pour la langue souhaitée</v>
      </c>
      <c r="D97" s="68"/>
      <c r="E97" s="4" t="str">
        <f>IF(D97="x","Fout, vul een aantal in / Erreur, remplissez un montant",IF($H$1="NL",IF(D97="","",IF(D97&gt;0,IF(($D$26+$D$37)=0,"Kies ook minimaal één CSC-tool SE en/of CSC-tool digital",IF(D97&gt;($D$26+$D$37),CONCATENATE("Te veel ",C97,", kies maximaal een gelijk aantal ",C97," als het aantal CSC-tool SE + CSC-tool mobile"),"")),"")),IF($H$1="FR",IF(D97="","",IF(D97&gt;0,IF(($D$26+$D$37)=0,"Choisissez également un ou plusieurs CSC-tool SE et/ou CSC-tool mobile",IF(D97&gt;($D$26+$D$37),CONCATENATE("Trop de ",C97,", choisissez jusqu’à un nombre égal de ",C97," comme le nombre de CSC-tool SE + CSC-tool mobile"),"")),"")),"Vul een 'x' in bij de gewenste taal / Entrez un 'x' pour la langue souhaitée")))</f>
        <v>Vul een 'x' in bij de gewenste taal / Entrez un 'x' pour la langue souhaitée</v>
      </c>
      <c r="F97" s="4"/>
      <c r="G97" s="73" t="str">
        <f t="shared" si="7"/>
        <v>Vul een 'x' in bij de gewenste taal / Entrez un 'x' pour la langue souhaitée</v>
      </c>
      <c r="H97" s="19">
        <v>369</v>
      </c>
      <c r="K97" s="19" t="s">
        <v>263</v>
      </c>
      <c r="L97" s="19" t="s">
        <v>264</v>
      </c>
    </row>
    <row r="98" spans="2:12">
      <c r="B98" s="24" t="s">
        <v>265</v>
      </c>
      <c r="C98" s="24" t="str">
        <f t="shared" si="6"/>
        <v>Vul een 'x' in bij de gewenste taal / Entrez un 'x' pour la langue souhaitée</v>
      </c>
      <c r="D98" s="68"/>
      <c r="E98" s="4" t="str">
        <f>IF(D98="x","Fout, vul een aantal in / Erreur, remplissez un montant",IF($H$1="NL",IF(D98="","",IF(D98&gt;0,IF(($D$26+$D$37)=0,"Kies ook minimaal één CSC-tool SE en/of CSC-tool digital",IF(D98&gt;($D$26+$D$37),CONCATENATE("Te veel ",C98,", kies maximaal een gelijk aantal ",C98," als het aantal CSC-tool SE + CSC-tool mobile"),"")),"")),IF($H$1="FR",IF(D98="","",IF(D98&gt;0,IF(($D$26+$D$37)=0,"Choisissez également un ou plusieurs CSC-tool SE et/ou CSC-tool mobile",IF(D98&gt;($D$26+$D$37),CONCATENATE("Trop de ",C98,", choisissez jusqu’à un nombre égal de ",C98," comme le nombre de CSC-tool SE + CSC-tool mobile"),"")),"")),"Vul een 'x' in bij de gewenste taal / Entrez un 'x' pour la langue souhaitée")))</f>
        <v>Vul een 'x' in bij de gewenste taal / Entrez un 'x' pour la langue souhaitée</v>
      </c>
      <c r="F98" s="4"/>
      <c r="G98" s="73" t="str">
        <f t="shared" si="7"/>
        <v>Vul een 'x' in bij de gewenste taal / Entrez un 'x' pour la langue souhaitée</v>
      </c>
      <c r="H98" s="19">
        <v>950</v>
      </c>
      <c r="K98" s="19" t="s">
        <v>266</v>
      </c>
      <c r="L98" s="19" t="s">
        <v>267</v>
      </c>
    </row>
    <row r="99" spans="2:12">
      <c r="B99" s="24" t="s">
        <v>268</v>
      </c>
      <c r="C99" s="24" t="str">
        <f t="shared" si="6"/>
        <v>Vul een 'x' in bij de gewenste taal / Entrez un 'x' pour la langue souhaitée</v>
      </c>
      <c r="D99" s="68"/>
      <c r="E99" s="4" t="str">
        <f>IF(D99="x","Fout, vul een aantal in / Erreur, remplissez un montant",IF($H$1="NL",IF(D99="","",IF(D99&gt;0,IF(($D$26+$D$37)=0,"Kies ook minimaal één CSC-tool SE en/of CSC-tool digital",IF(D99&gt;($D$26+$D$37),CONCATENATE("Te veel ",C99,", kies maximaal een gelijk aantal ",C99," als het aantal CSC-tool SE + CSC-tool mobile"),"")),"")),IF($H$1="FR",IF(D99="","",IF(D99&gt;0,IF(($D$26+$D$37)=0,"Choisissez également un ou plusieurs CSC-tool SE et/ou CSC-tool mobile",IF(D99&gt;($D$26+$D$37),CONCATENATE("Trop de ",C99,", choisissez jusqu’à un nombre égal de ",C99," comme le nombre de CSC-tool SE + CSC-tool mobile"),"")),"")),"Vul een 'x' in bij de gewenste taal / Entrez un 'x' pour la langue souhaitée")))</f>
        <v>Vul een 'x' in bij de gewenste taal / Entrez un 'x' pour la langue souhaitée</v>
      </c>
      <c r="F99" s="4"/>
      <c r="G99" s="73" t="str">
        <f t="shared" si="7"/>
        <v>Vul een 'x' in bij de gewenste taal / Entrez un 'x' pour la langue souhaitée</v>
      </c>
      <c r="H99" s="19">
        <v>1490</v>
      </c>
      <c r="K99" s="19" t="s">
        <v>269</v>
      </c>
      <c r="L99" s="19" t="s">
        <v>270</v>
      </c>
    </row>
    <row r="100" spans="2:12">
      <c r="B100" s="24" t="s">
        <v>271</v>
      </c>
      <c r="C100" s="24" t="str">
        <f t="shared" si="6"/>
        <v>Vul een 'x' in bij de gewenste taal / Entrez un 'x' pour la langue souhaitée</v>
      </c>
      <c r="D100" s="68"/>
      <c r="E100" s="4" t="str">
        <f>IF(D100="x","Fout, vul een aantal in / Erreur, remplissez un montant",IF($H$1="NL",IF(D100="","",IF(D100&gt;0,IF(($D$26+$D$37)=0,"Kies ook minimaal één CSC-tool SE en/of CSC-tool digital",IF(D100&gt;($D$26+$D$37),CONCATENATE("Te veel ",C100,", kies maximaal een gelijk aantal ",C100," als het aantal CSC-tool SE + CSC-tool mobile"),"")),"")),IF($H$1="FR",IF(D100="","",IF(D100&gt;0,IF(($D$26+$D$37)=0,"Choisissez également un ou plusieurs CSC-tool SE et/ou CSC-tool mobile",IF(D100&gt;($D$26+$D$37),CONCATENATE("Trop de ",C100,", choisissez jusqu’à un nombre égal de ",C100," comme le nombre de CSC-tool SE + CSC-tool mobile"),"")),"")),"Vul een 'x' in bij de gewenste taal / Entrez un 'x' pour la langue souhaitée")))</f>
        <v>Vul een 'x' in bij de gewenste taal / Entrez un 'x' pour la langue souhaitée</v>
      </c>
      <c r="F100" s="4"/>
      <c r="G100" s="73" t="str">
        <f t="shared" si="7"/>
        <v>Vul een 'x' in bij de gewenste taal / Entrez un 'x' pour la langue souhaitée</v>
      </c>
      <c r="H100" s="19">
        <v>55</v>
      </c>
      <c r="K100" s="19" t="s">
        <v>272</v>
      </c>
      <c r="L100" s="19" t="s">
        <v>273</v>
      </c>
    </row>
    <row r="101" spans="2:12">
      <c r="B101" s="24" t="s">
        <v>274</v>
      </c>
      <c r="C101" s="24" t="str">
        <f t="shared" si="6"/>
        <v>Vul een 'x' in bij de gewenste taal / Entrez un 'x' pour la langue souhaitée</v>
      </c>
      <c r="D101" s="68"/>
      <c r="E101" s="4" t="str">
        <f>IF(D101="x","Fout, vul een aantal in / Erreur, remplissez un montant",IF($H$1="NL",IF(D101="","",IF(D101&gt;0,IF(($D$26+$D$37)=0,"Kies ook minimaal één CSC-tool SE en/of CSC-tool digital",IF(D101&gt;($D$26+$D$37),CONCATENATE("Te veel ",C101,", kies maximaal een gelijk aantal ",C101," als het aantal CSC-tool SE + CSC-tool mobile"),"")),"")),IF($H$1="FR",IF(D101="","",IF(D101&gt;0,IF(($D$26+$D$37)=0,"Choisissez également un ou plusieurs CSC-tool SE et/ou CSC-tool mobile",IF(D101&gt;($D$26+$D$37),CONCATENATE("Trop de ",C101,", choisissez jusqu’à un nombre égal de ",C101," comme le nombre de CSC-tool SE + CSC-tool mobile"),"")),"")),"Vul een 'x' in bij de gewenste taal / Entrez un 'x' pour la langue souhaitée")))</f>
        <v>Vul een 'x' in bij de gewenste taal / Entrez un 'x' pour la langue souhaitée</v>
      </c>
      <c r="F101" s="4"/>
      <c r="G101" s="73" t="str">
        <f t="shared" si="7"/>
        <v>Vul een 'x' in bij de gewenste taal / Entrez un 'x' pour la langue souhaitée</v>
      </c>
      <c r="H101" s="19">
        <v>1990</v>
      </c>
      <c r="K101" s="19" t="s">
        <v>275</v>
      </c>
      <c r="L101" s="19" t="s">
        <v>275</v>
      </c>
    </row>
    <row r="102" spans="2:12">
      <c r="B102" s="24" t="s">
        <v>276</v>
      </c>
      <c r="C102" s="24" t="str">
        <f t="shared" si="6"/>
        <v>Vul een 'x' in bij de gewenste taal / Entrez un 'x' pour la langue souhaitée</v>
      </c>
      <c r="D102" s="68"/>
      <c r="E102" s="4" t="str">
        <f>IF(D102="x","Fout, vul een aantal in / Erreur, remplissez un montant",IF($H$1="NL",IF(D102="","",IF(D102&gt;0,IF(($D$26+$D$37)=0,"Kies ook minimaal één CSC-tool SE en/of CSC-tool digital",IF(D102&gt;($D$26+$D$37),CONCATENATE("Te veel ",C102,", kies maximaal een gelijk aantal ",C102," als het aantal CSC-tool SE + CSC-tool mobile"),"")),"")),IF($H$1="FR",IF(D102="","",IF(D102&gt;0,IF(($D$26+$D$37)=0,"Choisissez également un ou plusieurs CSC-tool SE et/ou CSC-tool mobile",IF(D102&gt;($D$26+$D$37),CONCATENATE("Trop de ",C102,", choisissez jusqu’à un nombre égal de ",C102," comme le nombre de CSC-tool SE + CSC-tool mobile"),"")),"")),"Vul een 'x' in bij de gewenste taal / Entrez un 'x' pour la langue souhaitée")))</f>
        <v>Vul een 'x' in bij de gewenste taal / Entrez un 'x' pour la langue souhaitée</v>
      </c>
      <c r="F102" s="4"/>
      <c r="G102" s="73" t="str">
        <f t="shared" si="7"/>
        <v>Vul een 'x' in bij de gewenste taal / Entrez un 'x' pour la langue souhaitée</v>
      </c>
      <c r="H102" s="19">
        <v>890</v>
      </c>
      <c r="K102" s="19" t="s">
        <v>277</v>
      </c>
      <c r="L102" s="19" t="s">
        <v>278</v>
      </c>
    </row>
    <row r="103" spans="2:12">
      <c r="B103" s="24" t="s">
        <v>279</v>
      </c>
      <c r="C103" s="24" t="str">
        <f t="shared" si="6"/>
        <v>Vul een 'x' in bij de gewenste taal / Entrez un 'x' pour la langue souhaitée</v>
      </c>
      <c r="D103" s="68"/>
      <c r="E103" s="4" t="str">
        <f>IF(D103="x","Fout, vul een aantal in / Erreur, remplissez un montant",IF($H$1="NL",IF(D103="","",IF(D103&gt;0,IF(($D$26+$D$37)=0,"Kies ook minimaal één CSC-tool SE en/of CSC-tool digital",IF(D103&gt;($D$26+$D$37),CONCATENATE("Te veel ",C103,", kies maximaal een gelijk aantal ",C103," als het aantal CSC-tool SE + CSC-tool mobile"),"")),"")),IF($H$1="FR",IF(D103="","",IF(D103&gt;0,IF(($D$26+$D$37)=0,"Choisissez également un ou plusieurs CSC-tool SE et/ou CSC-tool mobile",IF(D103&gt;($D$26+$D$37),CONCATENATE("Trop de ",C103,", choisissez jusqu’à un nombre égal de ",C103," comme le nombre de CSC-tool SE + CSC-tool mobile"),"")),"")),"Vul een 'x' in bij de gewenste taal / Entrez un 'x' pour la langue souhaitée")))</f>
        <v>Vul een 'x' in bij de gewenste taal / Entrez un 'x' pour la langue souhaitée</v>
      </c>
      <c r="F103" s="4"/>
      <c r="G103" s="73" t="str">
        <f t="shared" si="7"/>
        <v>Vul een 'x' in bij de gewenste taal / Entrez un 'x' pour la langue souhaitée</v>
      </c>
      <c r="H103" s="19">
        <v>890</v>
      </c>
      <c r="K103" s="19" t="s">
        <v>280</v>
      </c>
      <c r="L103" s="19" t="s">
        <v>281</v>
      </c>
    </row>
    <row r="104" spans="2:12">
      <c r="B104" s="24" t="s">
        <v>282</v>
      </c>
      <c r="C104" s="24" t="str">
        <f t="shared" si="6"/>
        <v>Vul een 'x' in bij de gewenste taal / Entrez un 'x' pour la langue souhaitée</v>
      </c>
      <c r="D104" s="68"/>
      <c r="E104" s="4" t="str">
        <f>IF(D104="x","Fout, vul een aantal in / Erreur, remplissez un montant",IF($H$1="NL",IF(D104="","",IF(D104&gt;0,IF(($D$26+$D$37)=0,"Kies ook minimaal één CSC-tool SE en/of CSC-tool digital",IF(D104&gt;($D$26+$D$37),CONCATENATE("Te veel ",C104,", kies maximaal een gelijk aantal ",C104," als het aantal CSC-tool SE + CSC-tool mobile"),"")),"")),IF($H$1="FR",IF(D104="","",IF(D104&gt;0,IF(($D$26+$D$37)=0,"Choisissez également un ou plusieurs CSC-tool SE et/ou CSC-tool mobile",IF(D104&gt;($D$26+$D$37),CONCATENATE("Trop de ",C104,", choisissez jusqu’à un nombre égal de ",C104," comme le nombre de CSC-tool SE + CSC-tool mobile"),"")),"")),"Vul een 'x' in bij de gewenste taal / Entrez un 'x' pour la langue souhaitée")))</f>
        <v>Vul een 'x' in bij de gewenste taal / Entrez un 'x' pour la langue souhaitée</v>
      </c>
      <c r="F104" s="4"/>
      <c r="G104" s="73" t="str">
        <f t="shared" si="7"/>
        <v>Vul een 'x' in bij de gewenste taal / Entrez un 'x' pour la langue souhaitée</v>
      </c>
      <c r="H104" s="19">
        <v>449</v>
      </c>
      <c r="K104" s="19" t="s">
        <v>283</v>
      </c>
      <c r="L104" s="19" t="s">
        <v>284</v>
      </c>
    </row>
    <row r="105" spans="2:12">
      <c r="B105" s="24" t="s">
        <v>285</v>
      </c>
      <c r="C105" s="24" t="str">
        <f t="shared" si="6"/>
        <v>Vul een 'x' in bij de gewenste taal / Entrez un 'x' pour la langue souhaitée</v>
      </c>
      <c r="D105" s="68"/>
      <c r="E105" s="4" t="str">
        <f>IF(D105="x","Fout, vul een aantal in / Erreur, remplissez un montant",IF($H$1="NL",IF(D105="","",IF(D105&gt;0,IF(($D$26+$D$37)=0,"Kies ook minimaal één CSC-tool SE en/of CSC-tool digital",IF(D105&gt;($D$26+$D$37),CONCATENATE("Te veel ",C105,", kies maximaal een gelijk aantal ",C105," als het aantal CSC-tool SE + CSC-tool mobile"),"")),"")),IF($H$1="FR",IF(D105="","",IF(D105&gt;0,IF(($D$26+$D$37)=0,"Choisissez également un ou plusieurs CSC-tool SE et/ou CSC-tool mobile",IF(D105&gt;($D$26+$D$37),CONCATENATE("Trop de ",C105,", choisissez jusqu’à un nombre égal de ",C105," comme le nombre de CSC-tool SE + CSC-tool mobile"),"")),"")),"Vul een 'x' in bij de gewenste taal / Entrez un 'x' pour la langue souhaitée")))</f>
        <v>Vul een 'x' in bij de gewenste taal / Entrez un 'x' pour la langue souhaitée</v>
      </c>
      <c r="F105" s="4"/>
      <c r="G105" s="73" t="str">
        <f t="shared" si="7"/>
        <v>Vul een 'x' in bij de gewenste taal / Entrez un 'x' pour la langue souhaitée</v>
      </c>
      <c r="H105" s="19">
        <v>300</v>
      </c>
      <c r="K105" s="19" t="s">
        <v>286</v>
      </c>
      <c r="L105" s="19" t="s">
        <v>287</v>
      </c>
    </row>
    <row r="106" spans="2:12">
      <c r="B106" s="24" t="s">
        <v>288</v>
      </c>
      <c r="C106" s="24" t="str">
        <f t="shared" si="6"/>
        <v>Vul een 'x' in bij de gewenste taal / Entrez un 'x' pour la langue souhaitée</v>
      </c>
      <c r="D106" s="68"/>
      <c r="E106" s="4" t="str">
        <f>IF(D106="x","Fout, vul een aantal in / Erreur, remplissez un montant",IF($H$1="NL",IF(D106="","",IF(D106&gt;0,IF(($D$26+$D$37)=0,"Kies ook minimaal één CSC-tool SE en/of CSC-tool digital",IF(D106&gt;($D$26+$D$37),CONCATENATE("Te veel ",C106,", kies maximaal een gelijk aantal ",C106," als het aantal CSC-tool SE + CSC-tool mobile"),"")),"")),IF($H$1="FR",IF(D106="","",IF(D106&gt;0,IF(($D$26+$D$37)=0,"Choisissez également un ou plusieurs CSC-tool SE et/ou CSC-tool mobile",IF(D106&gt;($D$26+$D$37),CONCATENATE("Trop de ",C106,", choisissez jusqu’à un nombre égal de ",C106," comme le nombre de CSC-tool SE + CSC-tool mobile"),"")),"")),"Vul een 'x' in bij de gewenste taal / Entrez un 'x' pour la langue souhaitée")))</f>
        <v>Vul een 'x' in bij de gewenste taal / Entrez un 'x' pour la langue souhaitée</v>
      </c>
      <c r="F106" s="4"/>
      <c r="G106" s="73" t="str">
        <f t="shared" si="7"/>
        <v>Vul een 'x' in bij de gewenste taal / Entrez un 'x' pour la langue souhaitée</v>
      </c>
      <c r="H106" s="19">
        <v>1190</v>
      </c>
      <c r="K106" s="19" t="s">
        <v>289</v>
      </c>
      <c r="L106" s="19" t="s">
        <v>290</v>
      </c>
    </row>
    <row r="107" spans="2:12">
      <c r="B107" s="24" t="s">
        <v>291</v>
      </c>
      <c r="C107" s="24" t="str">
        <f t="shared" si="6"/>
        <v>Vul een 'x' in bij de gewenste taal / Entrez un 'x' pour la langue souhaitée</v>
      </c>
      <c r="D107" s="68"/>
      <c r="E107" s="4" t="str">
        <f>IF(D107="x","Fout, vul een aantal in / Erreur, remplissez un montant",IF($H$1="NL",IF(D107="","",IF(D107&gt;0,IF(($D$26+$D$37)=0,"Kies ook minimaal één CSC-tool SE en/of CSC-tool digital",IF(D107&gt;($D$26+$D$37),CONCATENATE("Te veel ",C107,", kies maximaal een gelijk aantal ",C107," als het aantal CSC-tool SE + CSC-tool mobile"),"")),"")),IF($H$1="FR",IF(D107="","",IF(D107&gt;0,IF(($D$26+$D$37)=0,"Choisissez également un ou plusieurs CSC-tool SE et/ou CSC-tool mobile",IF(D107&gt;($D$26+$D$37),CONCATENATE("Trop de ",C107,", choisissez jusqu’à un nombre égal de ",C107," comme le nombre de CSC-tool SE + CSC-tool mobile"),"")),"")),"Vul een 'x' in bij de gewenste taal / Entrez un 'x' pour la langue souhaitée")))</f>
        <v>Vul een 'x' in bij de gewenste taal / Entrez un 'x' pour la langue souhaitée</v>
      </c>
      <c r="F107" s="4"/>
      <c r="G107" s="73" t="str">
        <f t="shared" si="7"/>
        <v>Vul een 'x' in bij de gewenste taal / Entrez un 'x' pour la langue souhaitée</v>
      </c>
      <c r="H107" s="19">
        <v>950</v>
      </c>
      <c r="K107" s="19" t="s">
        <v>292</v>
      </c>
      <c r="L107" s="19" t="s">
        <v>293</v>
      </c>
    </row>
    <row r="108" spans="2:12">
      <c r="B108" s="24" t="s">
        <v>294</v>
      </c>
      <c r="C108" s="24" t="str">
        <f t="shared" si="6"/>
        <v>Vul een 'x' in bij de gewenste taal / Entrez un 'x' pour la langue souhaitée</v>
      </c>
      <c r="D108" s="68"/>
      <c r="E108" s="4" t="str">
        <f>IF(D108="x","Fout, vul een aantal in / Erreur, remplissez un montant",IF($H$1="NL",IF(D108="","",IF(D108&gt;0,IF(($D$26+$D$37)=0,"Kies ook minimaal één CSC-tool SE en/of CSC-tool digital",IF(D108&gt;($D$26+$D$37),CONCATENATE("Te veel ",C108,", kies maximaal een gelijk aantal ",C108," als het aantal CSC-tool SE + CSC-tool mobile"),"")),"")),IF($H$1="FR",IF(D108="","",IF(D108&gt;0,IF(($D$26+$D$37)=0,"Choisissez également un ou plusieurs CSC-tool SE et/ou CSC-tool mobile",IF(D108&gt;($D$26+$D$37),CONCATENATE("Trop de ",C108,", choisissez jusqu’à un nombre égal de ",C108," comme le nombre de CSC-tool SE + CSC-tool mobile"),"")),"")),"Vul een 'x' in bij de gewenste taal / Entrez un 'x' pour la langue souhaitée")))</f>
        <v>Vul een 'x' in bij de gewenste taal / Entrez un 'x' pour la langue souhaitée</v>
      </c>
      <c r="F108" s="4"/>
      <c r="G108" s="73" t="str">
        <f t="shared" si="7"/>
        <v>Vul een 'x' in bij de gewenste taal / Entrez un 'x' pour la langue souhaitée</v>
      </c>
      <c r="H108" s="19">
        <v>299</v>
      </c>
      <c r="K108" s="19" t="s">
        <v>295</v>
      </c>
      <c r="L108" s="19" t="s">
        <v>296</v>
      </c>
    </row>
    <row r="109" spans="2:12">
      <c r="B109" s="24" t="s">
        <v>297</v>
      </c>
      <c r="C109" s="24" t="str">
        <f t="shared" si="6"/>
        <v>Vul een 'x' in bij de gewenste taal / Entrez un 'x' pour la langue souhaitée</v>
      </c>
      <c r="D109" s="68"/>
      <c r="E109" s="4" t="str">
        <f>IF(D109="x","Fout, vul een aantal in / Erreur, remplissez un montant",IF($H$1="NL",IF(D109="","",IF(D109&gt;0,IF(($D$26+$D$37)=0,"Kies ook minimaal één CSC-tool SE en/of CSC-tool digital",IF(D109&gt;($D$26+$D$37),CONCATENATE("Te veel ",C109,", kies maximaal een gelijk aantal ",C109," als het aantal CSC-tool SE + CSC-tool mobile"),"")),"")),IF($H$1="FR",IF(D109="","",IF(D109&gt;0,IF(($D$26+$D$37)=0,"Choisissez également un ou plusieurs CSC-tool SE et/ou CSC-tool mobile",IF(D109&gt;($D$26+$D$37),CONCATENATE("Trop de ",C109,", choisissez jusqu’à un nombre égal de ",C109," comme le nombre de CSC-tool SE + CSC-tool mobile"),"")),"")),"Vul een 'x' in bij de gewenste taal / Entrez un 'x' pour la langue souhaitée")))</f>
        <v>Vul een 'x' in bij de gewenste taal / Entrez un 'x' pour la langue souhaitée</v>
      </c>
      <c r="F109" s="4"/>
      <c r="G109" s="73" t="str">
        <f t="shared" si="7"/>
        <v>Vul een 'x' in bij de gewenste taal / Entrez un 'x' pour la langue souhaitée</v>
      </c>
      <c r="H109" s="19">
        <v>389</v>
      </c>
      <c r="K109" s="19" t="s">
        <v>298</v>
      </c>
      <c r="L109" s="19" t="s">
        <v>299</v>
      </c>
    </row>
  </sheetData>
  <sheetProtection algorithmName="SHA-512" hashValue="V02jgTrbk78fd914h/YK/AGaPx4RgAMVFmoh4tlRBzb+xsKI1ArObFTzXPdoueRGvpIjQn9zr6S5nQPmWqX/fQ==" saltValue="QbJtbaZL4Bwk183C40aEFg==" spinCount="100000" sheet="1" objects="1" scenarios="1"/>
  <mergeCells count="90">
    <mergeCell ref="E106:F106"/>
    <mergeCell ref="E107:F107"/>
    <mergeCell ref="E108:F108"/>
    <mergeCell ref="E109:F109"/>
    <mergeCell ref="E72:F72"/>
    <mergeCell ref="E73:F73"/>
    <mergeCell ref="E74:F74"/>
    <mergeCell ref="E75:F75"/>
    <mergeCell ref="E76:F76"/>
    <mergeCell ref="E77:F77"/>
    <mergeCell ref="E78:F78"/>
    <mergeCell ref="E79:F79"/>
    <mergeCell ref="E80:F80"/>
    <mergeCell ref="E81:F81"/>
    <mergeCell ref="E82:F82"/>
    <mergeCell ref="E83:F83"/>
    <mergeCell ref="E101:F101"/>
    <mergeCell ref="E102:F102"/>
    <mergeCell ref="E103:F103"/>
    <mergeCell ref="E104:F104"/>
    <mergeCell ref="E105:F105"/>
    <mergeCell ref="E96:F96"/>
    <mergeCell ref="E97:F97"/>
    <mergeCell ref="E98:F98"/>
    <mergeCell ref="E99:F99"/>
    <mergeCell ref="E100:F100"/>
    <mergeCell ref="E71:F71"/>
    <mergeCell ref="E93:F93"/>
    <mergeCell ref="E94:F94"/>
    <mergeCell ref="E95:F95"/>
    <mergeCell ref="E84:F84"/>
    <mergeCell ref="E85:F85"/>
    <mergeCell ref="E86:F86"/>
    <mergeCell ref="E87:F87"/>
    <mergeCell ref="E88:F88"/>
    <mergeCell ref="E89:F89"/>
    <mergeCell ref="E90:F90"/>
    <mergeCell ref="E91:F91"/>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2:F42"/>
    <mergeCell ref="E43:F43"/>
    <mergeCell ref="E44:F45"/>
    <mergeCell ref="E46:F46"/>
    <mergeCell ref="E48:F48"/>
    <mergeCell ref="E28:F29"/>
    <mergeCell ref="E8:F11"/>
    <mergeCell ref="E17:F20"/>
    <mergeCell ref="E39:F40"/>
    <mergeCell ref="E32:F32"/>
    <mergeCell ref="E33:F33"/>
    <mergeCell ref="E34:F34"/>
    <mergeCell ref="E35:F35"/>
    <mergeCell ref="E30:F30"/>
    <mergeCell ref="E37:F37"/>
    <mergeCell ref="E38:F38"/>
    <mergeCell ref="E22:F22"/>
    <mergeCell ref="E23:F23"/>
    <mergeCell ref="E24:F24"/>
    <mergeCell ref="E26:F26"/>
    <mergeCell ref="E27:F27"/>
    <mergeCell ref="F1:F2"/>
    <mergeCell ref="E4:F4"/>
    <mergeCell ref="E5:F5"/>
    <mergeCell ref="E6:F6"/>
    <mergeCell ref="E7:F7"/>
    <mergeCell ref="E21:F21"/>
    <mergeCell ref="E12:F12"/>
    <mergeCell ref="E13:F13"/>
    <mergeCell ref="E14:F14"/>
    <mergeCell ref="E15:F15"/>
    <mergeCell ref="E16:F16"/>
  </mergeCells>
  <phoneticPr fontId="59" type="noConversion"/>
  <pageMargins left="0.70866141732283472" right="0.70866141732283472" top="0.74803149606299213" bottom="0.74803149606299213" header="0.31496062992125984" footer="0.31496062992125984"/>
  <pageSetup paperSize="9" scale="54" orientation="portrait" r:id="rId1"/>
  <headerFooter>
    <oddHeader>&amp;R&amp;"Arial"&amp;9&amp;K737373Information Classification: 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C2512-4605-4190-9C93-785A6087966B}">
  <dimension ref="A1:E99"/>
  <sheetViews>
    <sheetView showGridLines="0" zoomScale="83" zoomScaleNormal="83" workbookViewId="0">
      <pane xSplit="2" ySplit="2" topLeftCell="C3" activePane="bottomRight" state="frozen"/>
      <selection pane="bottomRight" sqref="A1:XFD1048576"/>
      <selection pane="bottomLeft" activeCell="C6" sqref="C6"/>
      <selection pane="topRight" activeCell="C6" sqref="C6"/>
    </sheetView>
  </sheetViews>
  <sheetFormatPr defaultColWidth="1.5703125" defaultRowHeight="12.6"/>
  <cols>
    <col min="1" max="1" width="6.85546875" style="30" bestFit="1" customWidth="1"/>
    <col min="2" max="2" width="107.5703125" style="16" bestFit="1" customWidth="1"/>
    <col min="3" max="3" width="21.28515625" style="28" bestFit="1" customWidth="1"/>
    <col min="4" max="4" width="28.42578125" style="29" bestFit="1" customWidth="1"/>
    <col min="5" max="5" width="8.140625" style="29" customWidth="1"/>
    <col min="6" max="16384" width="1.5703125" style="29"/>
  </cols>
  <sheetData>
    <row r="1" spans="1:4" ht="12.95">
      <c r="A1" s="27"/>
      <c r="B1" s="17" t="str">
        <f>IF('TAB 1'!$H$1="NL","Rendementsberekening Hella Gutmann, vul de blauwe en gele cellen in en controleer de groene cellen en pas aan indien nodig","Calcul du rendement Hella Gutmann, remplissez les cellules bleus et jaunes et vérifiez les cellules vertes et ajustez si nécessaire")</f>
        <v>Calcul du rendement Hella Gutmann, remplissez les cellules bleus et jaunes et vérifiez les cellules vertes et ajustez si nécessaire</v>
      </c>
      <c r="D1" s="17" t="str">
        <f>IF('TAB 1'!$H$1="NL","Opmerkingen / foutmeldingen","Commentaires / messages d’erreur")</f>
        <v>Commentaires / messages d’erreur</v>
      </c>
    </row>
    <row r="2" spans="1:4" ht="12.95">
      <c r="A2" s="30" t="s">
        <v>300</v>
      </c>
      <c r="B2" s="17" t="str">
        <f>IF('TAB 1'!$H$1="NL","","")</f>
        <v/>
      </c>
      <c r="D2" s="27"/>
    </row>
    <row r="3" spans="1:4" ht="12.95">
      <c r="A3" s="19" t="s">
        <v>300</v>
      </c>
      <c r="B3" s="17" t="str">
        <f>IF('TAB 1'!$H$1="NL","1.1 Investering","1.1 Investissement")</f>
        <v>1.1 Investissement</v>
      </c>
      <c r="C3" s="31"/>
    </row>
    <row r="4" spans="1:4" ht="75">
      <c r="A4" s="32" t="s">
        <v>301</v>
      </c>
      <c r="B4" s="33" t="str">
        <f>IF('TAB 1'!$H$1="NL","Aanschafprijs mega macs","Prix d'achat mega macs")</f>
        <v>Prix d'achat mega macs</v>
      </c>
      <c r="C4" s="34">
        <f>SUM('TAB 1'!G5:G17)</f>
        <v>0</v>
      </c>
      <c r="D4" s="63" t="str">
        <f>IF(IF('TAB 1'!E1="x",1,0)+IF('TAB 1'!E2="x",1,0)&lt;1,"Geen taal ingevuld in het tabblad 'Rendementscalculatie', vul een 'x' in bij de gewenste taal / Aucune langue n’est entrée dans le tab 'Rendementscalculatie', entrez un 'x' pour la langue souhaitée",IF(IF('TAB 1'!E1="x",1,0)+IF('TAB 1'!E2="x",1,0)&gt;1,"Taal verkeerd ingevuld in het tabblad 'Rendementscalculatie', zet een 'x' bij de gewenste taal / Langue mal saisie dans l’onglet 'Calcul de l’efficacité', choisissez une seule langue : entrez un 'x' pour la langue souhaitée",""))</f>
        <v>Geen taal ingevuld in het tabblad 'Rendementscalculatie', vul een 'x' in bij de gewenste taal / Aucune langue n’est entrée dans le tab 'Rendementscalculatie', entrez un 'x' pour la langue souhaitée</v>
      </c>
    </row>
    <row r="5" spans="1:4">
      <c r="A5" s="32" t="s">
        <v>301</v>
      </c>
      <c r="B5" s="33" t="str">
        <f>IF('TAB 1'!$H$1="NL","Accessoires mega macs, vul het bedrag aan accessoires in","Accessoires mega macs, remplissez l le montant d’accessoires")</f>
        <v>Accessoires mega macs, remplissez l le montant d’accessoires</v>
      </c>
      <c r="C5" s="25">
        <v>0</v>
      </c>
      <c r="D5" s="63"/>
    </row>
    <row r="6" spans="1:4">
      <c r="A6" s="19"/>
      <c r="C6" s="35"/>
      <c r="D6" s="63"/>
    </row>
    <row r="7" spans="1:4">
      <c r="A7" s="32" t="s">
        <v>301</v>
      </c>
      <c r="B7" s="33" t="s">
        <v>302</v>
      </c>
      <c r="C7" s="34">
        <f>SUM('TAB 1'!G17:G20)</f>
        <v>0</v>
      </c>
      <c r="D7" s="63"/>
    </row>
    <row r="8" spans="1:4">
      <c r="A8" s="32" t="s">
        <v>301</v>
      </c>
      <c r="B8" s="33" t="s">
        <v>85</v>
      </c>
      <c r="C8" s="34">
        <f>SUM('TAB 1'!G21)</f>
        <v>0</v>
      </c>
      <c r="D8" s="63"/>
    </row>
    <row r="9" spans="1:4">
      <c r="A9" s="32"/>
      <c r="B9" s="33" t="s">
        <v>303</v>
      </c>
      <c r="C9" s="34">
        <f>SUM('TAB 1'!G22:G24)</f>
        <v>0</v>
      </c>
      <c r="D9" s="63"/>
    </row>
    <row r="10" spans="1:4">
      <c r="A10" s="19"/>
      <c r="C10" s="35"/>
      <c r="D10" s="63"/>
    </row>
    <row r="11" spans="1:4">
      <c r="A11" s="19" t="s">
        <v>304</v>
      </c>
      <c r="B11" s="33" t="str">
        <f>IF('TAB 1'!$H$1="NL","Aanschafprijs CSC tool","Prix d'achat CSC tool")</f>
        <v>Prix d'achat CSC tool</v>
      </c>
      <c r="C11" s="34">
        <f>SUM('TAB 1'!G26:G30)+SUM('TAB 1'!G32:G35)+SUM('TAB 1'!G37:G40)</f>
        <v>0</v>
      </c>
      <c r="D11" s="63"/>
    </row>
    <row r="12" spans="1:4">
      <c r="A12" s="19" t="s">
        <v>304</v>
      </c>
      <c r="B12" s="33" t="str">
        <f>IF('TAB 1'!$H$1="NL","Accessoires CSC tool","Accessoires CSC tool")</f>
        <v>Accessoires CSC tool</v>
      </c>
      <c r="C12" s="34">
        <f>'TAB 1'!G46</f>
        <v>0</v>
      </c>
      <c r="D12" s="63"/>
    </row>
    <row r="13" spans="1:4">
      <c r="A13" s="19" t="s">
        <v>305</v>
      </c>
      <c r="B13" s="33" t="str">
        <f>IF('TAB 1'!$H$1="NL","kalibratiepanelen CSC tool","Tableaux de calibrage CSC tool")</f>
        <v>Tableaux de calibrage CSC tool</v>
      </c>
      <c r="C13" s="34" t="e">
        <f>SUM('TAB 1'!G42:G43)+'TAB 1'!G45</f>
        <v>#VALUE!</v>
      </c>
      <c r="D13" s="63"/>
    </row>
    <row r="14" spans="1:4">
      <c r="A14" s="19"/>
      <c r="C14" s="35"/>
      <c r="D14" s="63"/>
    </row>
    <row r="15" spans="1:4">
      <c r="A15" s="32" t="s">
        <v>300</v>
      </c>
      <c r="B15" s="33" t="str">
        <f>IF('TAB 1'!$H$1="NL","Economische levensduur, jaren","Vie économique, années")</f>
        <v>Vie économique, années</v>
      </c>
      <c r="C15" s="15">
        <v>5</v>
      </c>
      <c r="D15" s="63"/>
    </row>
    <row r="16" spans="1:4">
      <c r="A16" s="32" t="s">
        <v>300</v>
      </c>
      <c r="B16" s="33" t="str">
        <f>IF('TAB 1'!$H$1="NL","Restwaarde na 5 jaar","Valeur résiduelle après 5 années")</f>
        <v>Valeur résiduelle après 5 années</v>
      </c>
      <c r="C16" s="34" t="e">
        <f>CEILING(SUM(C4:C13)*0.25,1)</f>
        <v>#VALUE!</v>
      </c>
      <c r="D16" s="63"/>
    </row>
    <row r="17" spans="1:5">
      <c r="A17" s="19" t="s">
        <v>300</v>
      </c>
      <c r="B17" s="16" t="str">
        <f>IF('TAB 1'!$H$1="NL","","")</f>
        <v/>
      </c>
      <c r="C17" s="35"/>
    </row>
    <row r="18" spans="1:5" ht="12.95">
      <c r="A18" s="19" t="s">
        <v>300</v>
      </c>
      <c r="B18" s="17" t="str">
        <f>IF('TAB 1'!$H$1="NL","1.2 Jaarlijkse vaste kosten","1.2 Coûts fixes annuels")</f>
        <v>1.2 Coûts fixes annuels</v>
      </c>
      <c r="C18" s="35"/>
    </row>
    <row r="19" spans="1:5">
      <c r="A19" s="32" t="s">
        <v>301</v>
      </c>
      <c r="B19" s="33" t="str">
        <f>IF('TAB 1'!$H$1="NL","Licentie voor data, updates, helpdesk","Licence pour données, mises à jour, support technique")</f>
        <v>Licence pour données, mises à jour, support technique</v>
      </c>
      <c r="C19" s="34">
        <f>SUMPRODUCT('TAB 1'!$I$13:$I$16,'TAB 1'!$J$13:$J$16)</f>
        <v>2099</v>
      </c>
    </row>
    <row r="20" spans="1:5">
      <c r="A20" s="19" t="s">
        <v>306</v>
      </c>
      <c r="B20" s="33" t="str">
        <f>IF('TAB 1'!$H$1="NL","Digitale kalibratiepanelen (CSC tool digital)","Tableaux de calibrage numériques (CSC tool digital)")</f>
        <v>Tableaux de calibrage numériques (CSC tool digital)</v>
      </c>
      <c r="C20" s="36">
        <f>'TAB 1'!I44</f>
        <v>0</v>
      </c>
    </row>
    <row r="21" spans="1:5" ht="12.95">
      <c r="A21" s="67">
        <v>1.4999999999999999E-2</v>
      </c>
      <c r="B21" s="33" t="str">
        <f>CONCATENATE(IF('TAB 1'!$H$1="NL","Rente","Intérêt")," (",A21*100,"%)")</f>
        <v>Intérêt (1,5%)</v>
      </c>
      <c r="C21" s="34" t="e">
        <f>SUM(C4:C13)*$A$21</f>
        <v>#VALUE!</v>
      </c>
    </row>
    <row r="22" spans="1:5">
      <c r="A22" s="32" t="s">
        <v>300</v>
      </c>
      <c r="B22" s="33" t="str">
        <f>IF('TAB 1'!$H$1="NL","Afschrijving","Dépréciation")</f>
        <v>Dépréciation</v>
      </c>
      <c r="C22" s="34" t="e">
        <f>(SUM(C4:C13)-C16)/C15</f>
        <v>#VALUE!</v>
      </c>
    </row>
    <row r="23" spans="1:5" ht="12.95">
      <c r="A23" s="32" t="s">
        <v>300</v>
      </c>
      <c r="B23" s="33" t="str">
        <f>IF('TAB 1'!$H$1="NL","Totale jaarlijkse vaste kosten","Coûts fixes annuels totales")</f>
        <v>Coûts fixes annuels totales</v>
      </c>
      <c r="C23" s="37" t="e">
        <f>SUM(C19:C22)</f>
        <v>#VALUE!</v>
      </c>
    </row>
    <row r="24" spans="1:5">
      <c r="A24" s="19" t="s">
        <v>300</v>
      </c>
      <c r="B24" s="16" t="str">
        <f>IF('TAB 1'!$H$1="NL","","")</f>
        <v/>
      </c>
      <c r="C24" s="35"/>
    </row>
    <row r="25" spans="1:5" ht="12.95">
      <c r="A25" s="19" t="s">
        <v>300</v>
      </c>
      <c r="B25" s="17" t="str">
        <f>IF('TAB 1'!$H$1="NL","2.1 Aantal controle/diagnose/kalibratie ADAS/kalibratie koplampen/macsRemote Services per jaar","2.1 Quantité de contrôle/diagnosticss/calibration ADAS/calibration phares par année")</f>
        <v>2.1 Quantité de contrôle/diagnosticss/calibration ADAS/calibration phares par année</v>
      </c>
      <c r="C25" s="35"/>
    </row>
    <row r="26" spans="1:5" s="39" customFormat="1" ht="12.95">
      <c r="A26" s="32" t="s">
        <v>301</v>
      </c>
      <c r="B26" s="33" t="str">
        <f>IF('TAB 1'!$H$1="NL","controle bij onderhoudsbeurt gemiddeld per dag (aantal)","contrôle durant service de entretien moyen par jour (quantité)")</f>
        <v>contrôle durant service de entretien moyen par jour (quantité)</v>
      </c>
      <c r="C26" s="26"/>
      <c r="D26" s="38" t="str">
        <f>IF(C4=0,IF(C26&gt;0,"FOUT, geen diagnoseapparaat aanwezig",""),"")</f>
        <v/>
      </c>
    </row>
    <row r="27" spans="1:5" ht="12.95">
      <c r="A27" s="32" t="s">
        <v>301</v>
      </c>
      <c r="B27" s="33" t="str">
        <f>IF('TAB 1'!$H$1="NL","controle bij onderhoudsbeurt per jaar (aantal)","contrôle durant service de entretien par année (quantité)")</f>
        <v>contrôle durant service de entretien par année (quantité)</v>
      </c>
      <c r="C27" s="40">
        <f t="shared" ref="C27" si="0">C26*5*44</f>
        <v>0</v>
      </c>
      <c r="D27" s="27"/>
      <c r="E27" s="39"/>
    </row>
    <row r="28" spans="1:5" ht="12.95">
      <c r="A28" s="19"/>
      <c r="C28" s="35"/>
      <c r="D28" s="27"/>
      <c r="E28" s="39"/>
    </row>
    <row r="29" spans="1:5" s="39" customFormat="1" ht="12.95">
      <c r="A29" s="32" t="s">
        <v>301</v>
      </c>
      <c r="B29" s="33" t="str">
        <f>IF('TAB 1'!$H$1="NL","diagnose bij storing gemiddeld per dag (aantal)","diagnostics après panne moyen par jour (quantité)")</f>
        <v>diagnostics après panne moyen par jour (quantité)</v>
      </c>
      <c r="C29" s="26"/>
      <c r="D29" s="38" t="str">
        <f>IF(C4=0,IF(C29&gt;0,"FOUT, geen diagnoseapparaat aanwezig",""),"")</f>
        <v/>
      </c>
    </row>
    <row r="30" spans="1:5" ht="12.95">
      <c r="A30" s="32" t="s">
        <v>301</v>
      </c>
      <c r="B30" s="33" t="str">
        <f>IF('TAB 1'!$H$1="NL","diagnose bij storing per jaar (aantal)","diagnostics àpres panne par année (quantité)")</f>
        <v>diagnostics àpres panne par année (quantité)</v>
      </c>
      <c r="C30" s="40">
        <f t="shared" ref="C30" si="1">C29*5*44</f>
        <v>0</v>
      </c>
      <c r="D30" s="27"/>
      <c r="E30" s="39"/>
    </row>
    <row r="31" spans="1:5" ht="12.95">
      <c r="A31" s="19"/>
      <c r="C31" s="35"/>
      <c r="D31" s="27"/>
      <c r="E31" s="39"/>
    </row>
    <row r="32" spans="1:5" s="39" customFormat="1" ht="12.95">
      <c r="A32" s="19" t="s">
        <v>304</v>
      </c>
      <c r="B32" s="33" t="str">
        <f>IF('TAB 1'!$H$1="NL","kalibratie ADAS gemiddeld per dag (aantal)","calibration ADAS moyen par jour (quantité)")</f>
        <v>calibration ADAS moyen par jour (quantité)</v>
      </c>
      <c r="C32" s="26"/>
      <c r="D32" s="38" t="str">
        <f>IF(C11=0,IF(C32&gt;0,"FOUT, geen CSC-tool aanwezig",""),"")</f>
        <v/>
      </c>
    </row>
    <row r="33" spans="1:5" ht="12.95">
      <c r="A33" s="19" t="s">
        <v>304</v>
      </c>
      <c r="B33" s="33" t="str">
        <f>IF('TAB 1'!$H$1="NL","kalibratie ADAS gemiddeld per jaar (aantal)","calibration ADAS par année (quantité)")</f>
        <v>calibration ADAS par année (quantité)</v>
      </c>
      <c r="C33" s="40">
        <f t="shared" ref="C33" si="2">C32*5*44</f>
        <v>0</v>
      </c>
      <c r="D33" s="27"/>
      <c r="E33" s="39"/>
    </row>
    <row r="34" spans="1:5" ht="12.95">
      <c r="A34" s="19"/>
      <c r="C34" s="35"/>
      <c r="D34" s="27"/>
      <c r="E34" s="39"/>
    </row>
    <row r="35" spans="1:5" s="39" customFormat="1" ht="12.95">
      <c r="A35" s="19" t="s">
        <v>304</v>
      </c>
      <c r="B35" s="33" t="str">
        <f>IF('TAB 1'!$H$1="NL","kalibratie koplampen gemiddeld per dag (aantal)","calibration phares moyen par jour (quantité)")</f>
        <v>calibration phares moyen par jour (quantité)</v>
      </c>
      <c r="C35" s="26"/>
      <c r="D35" s="38" t="str">
        <f>IF(C9=0,IF(C35&gt;0,"FOUT, geen koplampafstelapparaat aanwezig",""),"")</f>
        <v/>
      </c>
    </row>
    <row r="36" spans="1:5" ht="12.95">
      <c r="A36" s="19" t="s">
        <v>304</v>
      </c>
      <c r="B36" s="33" t="str">
        <f>IF('TAB 1'!$H$1="NL","kalibratie koplampen gemiddeld per jaar (aantal)","calibration phares par année (quantité)")</f>
        <v>calibration phares par année (quantité)</v>
      </c>
      <c r="C36" s="40">
        <f t="shared" ref="C36" si="3">C35*5*44</f>
        <v>0</v>
      </c>
      <c r="D36" s="27"/>
      <c r="E36" s="39"/>
    </row>
    <row r="37" spans="1:5" ht="12.95">
      <c r="A37" s="19"/>
      <c r="C37" s="35"/>
      <c r="D37" s="27"/>
      <c r="E37" s="39"/>
    </row>
    <row r="38" spans="1:5" s="39" customFormat="1" ht="12.95">
      <c r="A38" s="19" t="s">
        <v>304</v>
      </c>
      <c r="B38" s="33" t="str">
        <f>IF('TAB 1'!$H$1="NL","macsRemote Services gemiddeld per dag (aantal)","macsRemote Services moyen par jour (quantité)")</f>
        <v>macsRemote Services moyen par jour (quantité)</v>
      </c>
      <c r="C38" s="26"/>
      <c r="D38" s="38" t="str">
        <f>IF(C8=0,IF(C38&gt;0,"FOUT, geen RS macsRemote set 2 aanwezig",""),"")</f>
        <v/>
      </c>
    </row>
    <row r="39" spans="1:5">
      <c r="A39" s="19" t="s">
        <v>304</v>
      </c>
      <c r="B39" s="33" t="str">
        <f>IF('TAB 1'!$H$1="NL","macsRemote Services gemiddeld per jaar (aantal)","macsRemote Services par année (quantité)")</f>
        <v>macsRemote Services par année (quantité)</v>
      </c>
      <c r="C39" s="40">
        <f t="shared" ref="C39" si="4">C38*5*44</f>
        <v>0</v>
      </c>
    </row>
    <row r="40" spans="1:5">
      <c r="A40" s="19" t="s">
        <v>300</v>
      </c>
      <c r="B40" s="16" t="str">
        <f>IF('TAB 1'!$H$1="NL","","")</f>
        <v/>
      </c>
      <c r="D40" s="39"/>
    </row>
    <row r="41" spans="1:5" ht="12.95">
      <c r="A41" s="19" t="s">
        <v>300</v>
      </c>
      <c r="B41" s="17" t="str">
        <f>IF('TAB 1'!$H$1="NL","2.2 Tijd per controle/diagnose/kalibratie ADAS/kalibratie koplampen/macsRemote Services (minuten)","2.2 Durée par contrôle/diagnosticss/calibration ADAS/calibration phares (minutes)")</f>
        <v>2.2 Durée par contrôle/diagnosticss/calibration ADAS/calibration phares (minutes)</v>
      </c>
    </row>
    <row r="42" spans="1:5" ht="12.95">
      <c r="A42" s="19" t="s">
        <v>301</v>
      </c>
      <c r="B42" s="41" t="str">
        <f>IF('TAB 1'!$H$1="NL","controle bij onderhoudsbeurt per beurt (minuten)","contrôle durant service de entretien par service (minutes)")</f>
        <v>contrôle durant service de entretien par service (minutes)</v>
      </c>
      <c r="C42" s="15">
        <v>20</v>
      </c>
      <c r="D42" s="27" t="str">
        <f>IF(C42=0,"Geef de gemiddelde duur aan in minuten","")</f>
        <v/>
      </c>
    </row>
    <row r="43" spans="1:5">
      <c r="A43" s="19" t="s">
        <v>301</v>
      </c>
      <c r="B43" s="41" t="str">
        <f>IF('TAB 1'!$H$1="NL","controle bij onderhoudsbeurt per jaar (minuten)","contrôle durant service de entretien par année (minutes)")</f>
        <v>contrôle durant service de entretien par année (minutes)</v>
      </c>
      <c r="C43" s="40">
        <f t="shared" ref="C43" si="5">C27*C42</f>
        <v>0</v>
      </c>
    </row>
    <row r="44" spans="1:5" ht="12.95">
      <c r="A44" s="19"/>
      <c r="B44" s="41" t="str">
        <f>IF('TAB 1'!$H$1="NL","in % van totaal","% du total")</f>
        <v>% du total</v>
      </c>
      <c r="C44" s="42" t="str">
        <f>IF('TAB 1'!$H$1="NL",IF(($C$26+$C$29+$C$32+$C$35+$C$38)=0,"FOUT",C43/(C$43+C$47+C$51+C$55+C$59)),IF('TAB 1'!$H$1="FR",IF(($C$26+$C$29+$C$32+$C$35+$C$38)=0,"ERREUR",C43/(C$43+C$47+C$51+C$55+C$59)),"Check taal / langue"))</f>
        <v>Check taal / langue</v>
      </c>
      <c r="D44" s="43"/>
    </row>
    <row r="45" spans="1:5" ht="12.95">
      <c r="A45" s="19"/>
      <c r="C45" s="35"/>
      <c r="D45" s="44"/>
    </row>
    <row r="46" spans="1:5" ht="12.95">
      <c r="A46" s="19" t="s">
        <v>301</v>
      </c>
      <c r="B46" s="41" t="str">
        <f>IF('TAB 1'!$H$1="NL","diagnose bij storing per storing (minuten)","diagnostics àpres panne par panne (minutes)")</f>
        <v>diagnostics àpres panne par panne (minutes)</v>
      </c>
      <c r="C46" s="15">
        <v>45</v>
      </c>
      <c r="D46" s="27" t="str">
        <f>IF(C46=0,"Geef de gemiddelde duur aan in minuten","")</f>
        <v/>
      </c>
    </row>
    <row r="47" spans="1:5" ht="12.95">
      <c r="A47" s="19" t="s">
        <v>301</v>
      </c>
      <c r="B47" s="41" t="str">
        <f>IF('TAB 1'!$H$1="NL","diagnose bij storing per jaar (minuten)","diagnostics àpres panne par année (minutes)")</f>
        <v>diagnostics àpres panne par année (minutes)</v>
      </c>
      <c r="C47" s="40">
        <f>C30*C46</f>
        <v>0</v>
      </c>
      <c r="D47" s="44"/>
    </row>
    <row r="48" spans="1:5" ht="12.95">
      <c r="A48" s="19"/>
      <c r="B48" s="41" t="str">
        <f>IF('TAB 1'!$H$1="NL","in % van totaal","% du total")</f>
        <v>% du total</v>
      </c>
      <c r="C48" s="42" t="str">
        <f>IF('TAB 1'!$H$1="NL",IF(($C$26+$C$29+$C$32+$C$35+$C$38)=0,"FOUT",C47/(C$43+C$47+C$51+C$55+C$59)),IF('TAB 1'!$H$1="FR",IF(($C$26+$C$29+$C$32+$C$35+$C$38)=0,"ERREUR",C47/(C$43+C$47+C$51+C$55+C$59)),"Check taal / langue"))</f>
        <v>Check taal / langue</v>
      </c>
      <c r="D48" s="44"/>
    </row>
    <row r="49" spans="1:4" ht="12.95">
      <c r="A49" s="19"/>
      <c r="C49" s="35"/>
      <c r="D49" s="44"/>
    </row>
    <row r="50" spans="1:4" ht="12.95">
      <c r="A50" s="19" t="s">
        <v>304</v>
      </c>
      <c r="B50" s="41" t="str">
        <f>IF('TAB 1'!$H$1="NL","kalibratie ADAS (minuten)","calibration ADAS (minutes)")</f>
        <v>calibration ADAS (minutes)</v>
      </c>
      <c r="C50" s="15">
        <v>20</v>
      </c>
      <c r="D50" s="27" t="str">
        <f>IF(C50=0,"Geef de gemiddelde duur aan in minuten","")</f>
        <v/>
      </c>
    </row>
    <row r="51" spans="1:4" ht="12.95">
      <c r="A51" s="19" t="s">
        <v>304</v>
      </c>
      <c r="B51" s="41" t="str">
        <f>IF('TAB 1'!$H$1="NL","kalibratie ADAS per jaar (minuten)","calibration ADAS par année (minutes)")</f>
        <v>calibration ADAS par année (minutes)</v>
      </c>
      <c r="C51" s="40">
        <f>C33*C50</f>
        <v>0</v>
      </c>
      <c r="D51" s="44"/>
    </row>
    <row r="52" spans="1:4" ht="12.95">
      <c r="A52" s="19"/>
      <c r="B52" s="41" t="str">
        <f>IF('TAB 1'!$H$1="NL","in % van totaal","% du total")</f>
        <v>% du total</v>
      </c>
      <c r="C52" s="42" t="str">
        <f>IF('TAB 1'!$H$1="NL",IF(($C$26+$C$29+$C$32+$C$35+$C$38)=0,"FOUT",C51/(C$43+C$47+C$51+C$55+C$59)),IF('TAB 1'!$H$1="FR",IF(($C$26+$C$29+$C$32+$C$35+$C$38)=0,"ERREUR",C51/(C$43+C$47+C$51+C$55+C$59)),"Check taal / langue"))</f>
        <v>Check taal / langue</v>
      </c>
      <c r="D52" s="44"/>
    </row>
    <row r="53" spans="1:4" ht="12.95">
      <c r="A53" s="19"/>
      <c r="C53" s="35"/>
      <c r="D53" s="44"/>
    </row>
    <row r="54" spans="1:4" ht="12.95">
      <c r="A54" s="19" t="s">
        <v>304</v>
      </c>
      <c r="B54" s="41" t="str">
        <f>IF('TAB 1'!$H$1="NL","kalibratie koplampen (minuten)","calibration phares (minutes)")</f>
        <v>calibration phares (minutes)</v>
      </c>
      <c r="C54" s="15">
        <v>20</v>
      </c>
      <c r="D54" s="27" t="str">
        <f>IF(C54=0,"Geef de gemiddelde duur aan in minuten","")</f>
        <v/>
      </c>
    </row>
    <row r="55" spans="1:4" ht="12.95">
      <c r="A55" s="19" t="s">
        <v>304</v>
      </c>
      <c r="B55" s="41" t="str">
        <f>IF('TAB 1'!$H$1="NL","kalibratie koplampen per jaar (minuten)","calibration phares par année (minutes)")</f>
        <v>calibration phares par année (minutes)</v>
      </c>
      <c r="C55" s="40">
        <f>C36*C54</f>
        <v>0</v>
      </c>
      <c r="D55" s="44"/>
    </row>
    <row r="56" spans="1:4" ht="12.95">
      <c r="A56" s="19"/>
      <c r="B56" s="41" t="str">
        <f>IF('TAB 1'!$H$1="NL","in % van totaal","% du total")</f>
        <v>% du total</v>
      </c>
      <c r="C56" s="42" t="str">
        <f>IF('TAB 1'!$H$1="NL",IF(($C$26+$C$29+$C$32+$C$35+$C$38)=0,"FOUT",C55/(C$43+C$47+C$51+C$55+C$59)),IF('TAB 1'!$H$1="FR",IF(($C$26+$C$29+$C$32+$C$35+$C$38)=0,"ERREUR",C55/(C$43+C$47+C$51+C$55+C$59)),"Check taal / langue"))</f>
        <v>Check taal / langue</v>
      </c>
      <c r="D56" s="44"/>
    </row>
    <row r="57" spans="1:4" ht="12.95">
      <c r="A57" s="19"/>
      <c r="C57" s="35"/>
      <c r="D57" s="44"/>
    </row>
    <row r="58" spans="1:4" ht="12.95">
      <c r="A58" s="19" t="s">
        <v>304</v>
      </c>
      <c r="B58" s="41" t="str">
        <f>IF('TAB 1'!$H$1="NL","macsRemote Services (minuten)","macsRemote Services (minutes)")</f>
        <v>macsRemote Services (minutes)</v>
      </c>
      <c r="C58" s="15">
        <v>20</v>
      </c>
      <c r="D58" s="27" t="str">
        <f>IF(C58=0,"Geef de gemiddelde duur aan in minuten","")</f>
        <v/>
      </c>
    </row>
    <row r="59" spans="1:4" ht="12.95">
      <c r="A59" s="19" t="s">
        <v>304</v>
      </c>
      <c r="B59" s="41" t="str">
        <f>IF('TAB 1'!$H$1="NL","macsRemote Services per jaar (minuten)","macsRemote Services par année (minutes)")</f>
        <v>macsRemote Services par année (minutes)</v>
      </c>
      <c r="C59" s="40">
        <f>C39*C58</f>
        <v>0</v>
      </c>
      <c r="D59" s="44"/>
    </row>
    <row r="60" spans="1:4" ht="12.95">
      <c r="A60" s="19"/>
      <c r="B60" s="41" t="str">
        <f>IF('TAB 1'!$H$1="NL","in % van totaal","% du total")</f>
        <v>% du total</v>
      </c>
      <c r="C60" s="42" t="str">
        <f>IF('TAB 1'!$H$1="NL",IF(($C$26+$C$29+$C$32+$C$35+$C$38)=0,"FOUT",C59/(C$43+C$47+C$51+C$55+C$59)),IF('TAB 1'!$H$1="FR",IF(($C$26+$C$29+$C$32+$C$35+$C$38)=0,"ERREUR",C59/(C$43+C$47+C$51+C$55+C$59)),"Check taal / langue"))</f>
        <v>Check taal / langue</v>
      </c>
      <c r="D60" s="44"/>
    </row>
    <row r="61" spans="1:4">
      <c r="A61" s="19"/>
      <c r="C61" s="35"/>
    </row>
    <row r="62" spans="1:4" ht="12.95">
      <c r="A62" s="19" t="s">
        <v>300</v>
      </c>
      <c r="B62" s="17" t="str">
        <f>IF('TAB 1'!$H$1="NL","2.3 Kosten tester+services per controle/diagnose/kalibratie ADAS/kalibratie koplampen/macsRemote Services (euro)","2.3 Couts appareil+services par contrôle/diagnosticss/calibration ADAS/calibration phares (euro)")</f>
        <v>2.3 Couts appareil+services par contrôle/diagnosticss/calibration ADAS/calibration phares (euro)</v>
      </c>
    </row>
    <row r="63" spans="1:4">
      <c r="A63" s="19" t="s">
        <v>301</v>
      </c>
      <c r="B63" s="41" t="str">
        <f>IF('TAB 1'!$H$1="NL","controle bij onderhoudsbeurt","contrôle durant service de entretien")</f>
        <v>contrôle durant service de entretien</v>
      </c>
      <c r="C63" s="34" t="e">
        <f>IF(C26=0,(((($C$4+$C$5+$C$7)-($C$4+$C$5+$C$7)*0.25)/5)+$C$19+$C$21),(((($C$4+$C$5+$C$7)-($C$4+$C$5+$C$7)*0.25)/5)+$C$19+$C$21)/($C$43+$C$47+$C$51)*$C$43/$C$27)</f>
        <v>#VALUE!</v>
      </c>
    </row>
    <row r="64" spans="1:4">
      <c r="A64" s="19" t="s">
        <v>301</v>
      </c>
      <c r="B64" s="41" t="str">
        <f>IF('TAB 1'!$H$1="NL","diagnose bij storing","diagnostics àpres panne")</f>
        <v>diagnostics àpres panne</v>
      </c>
      <c r="C64" s="34" t="e">
        <f>IF(C29=0,(((($C$4+$C$5+$C$7)-($C$4+$C$5+$C$7)*0.25)/5)+$C$19+$C$21),(((($C$4+$C$5+$C$7)-($C$4+$C$5+$C$7)*0.25)/5)+$C$19+$C$21)/($C$43+$C$47+$C$51)*$C$47/$C$30)</f>
        <v>#VALUE!</v>
      </c>
    </row>
    <row r="65" spans="1:4">
      <c r="A65" s="19" t="s">
        <v>304</v>
      </c>
      <c r="B65" s="41" t="str">
        <f>IF('TAB 1'!$H$1="NL","kalibratie ADAS","calibration ADAS")</f>
        <v>calibration ADAS</v>
      </c>
      <c r="C65" s="34" t="e">
        <f>IF(C32=0,(((($C$4+$C$5+$C$11+$C$12+$C$13)-($C$4+$C$5+$C$11+$C$12+$C$13)*0.25)/5)+$C$19+$C$20+$C$21),(((($C$4+$C$5+$C$11+$C$12+$C$13)-($C$4+$C$5+$C$11+$C$12+$C$13)*0.25)/5)+$C$19+$C$20+$C$21)/($C$43+$C$47+$C$51)*$C$51/$C$33)</f>
        <v>#VALUE!</v>
      </c>
    </row>
    <row r="66" spans="1:4">
      <c r="A66" s="19" t="s">
        <v>304</v>
      </c>
      <c r="B66" s="41" t="str">
        <f>IF('TAB 1'!$H$1="NL","kalibratie koplampen","calibration phares")</f>
        <v>calibration phares</v>
      </c>
      <c r="C66" s="34" t="e">
        <f>IF(C35=0,(((($C$9)-($C$9)*0.25)/5)+$C$21),(((($C$9)-($C$9)*0.25)/5)+$C$21)/$C$36)</f>
        <v>#VALUE!</v>
      </c>
    </row>
    <row r="67" spans="1:4">
      <c r="A67" s="19" t="s">
        <v>304</v>
      </c>
      <c r="B67" s="41" t="s">
        <v>307</v>
      </c>
      <c r="C67" s="34" t="e">
        <f>IF(C38=0,(((($C$8)-($C$8)*0.25)/5)+$C$21),(((($C$8)-($C$8)*0.25)/5)+$C$21)/$C$39+80.67)</f>
        <v>#VALUE!</v>
      </c>
    </row>
    <row r="68" spans="1:4" s="47" customFormat="1" ht="12.95">
      <c r="A68" s="45"/>
      <c r="B68" s="45"/>
      <c r="C68" s="46"/>
    </row>
    <row r="69" spans="1:4" ht="12.95">
      <c r="A69" s="19" t="s">
        <v>300</v>
      </c>
      <c r="B69" s="17" t="str">
        <f>IF('TAB 1'!$H$1="NL","2.4 Arbeidskosten per controle/diagnose/kalibratie ADAS/kalibratie koplampen/macsRemote Services(euro)","2.4 Coûts de main-d'œuvre par contrôle/diagnosticss/calibration ADAS/calibration phares (euro)")</f>
        <v>2.4 Coûts de main-d'œuvre par contrôle/diagnosticss/calibration ADAS/calibration phares (euro)</v>
      </c>
      <c r="C69" s="31"/>
    </row>
    <row r="70" spans="1:4" ht="12.95">
      <c r="A70" s="19" t="s">
        <v>300</v>
      </c>
      <c r="B70" s="41" t="str">
        <f>IF('TAB 1'!$H$1="NL","Arbeidskosten per uur","Coûts de main-d'œuvre par heure")</f>
        <v>Coûts de main-d'œuvre par heure</v>
      </c>
      <c r="C70" s="15">
        <v>30</v>
      </c>
      <c r="D70" s="27" t="str">
        <f>IF(C70=0,"Geef een bedrag in Euro's aan", "")</f>
        <v/>
      </c>
    </row>
    <row r="71" spans="1:4">
      <c r="A71" s="19" t="s">
        <v>301</v>
      </c>
      <c r="B71" s="41" t="str">
        <f>IF('TAB 1'!$H$1="NL","controle bij onderhoudsbeurt","contrôle durant service de entretien")</f>
        <v>contrôle durant service de entretien</v>
      </c>
      <c r="C71" s="34">
        <f>IF(C26=0,0,C$70/60*C43/C27)</f>
        <v>0</v>
      </c>
    </row>
    <row r="72" spans="1:4">
      <c r="A72" s="19" t="s">
        <v>301</v>
      </c>
      <c r="B72" s="41" t="str">
        <f>IF('TAB 1'!$H$1="NL","diagnose bij storing","diagnostics àpres panne")</f>
        <v>diagnostics àpres panne</v>
      </c>
      <c r="C72" s="34">
        <f>IF(C29=0,0,C$70/60*C47/C30)</f>
        <v>0</v>
      </c>
    </row>
    <row r="73" spans="1:4">
      <c r="A73" s="19" t="s">
        <v>304</v>
      </c>
      <c r="B73" s="41" t="str">
        <f>IF('TAB 1'!$H$1="NL","kalibratie ADAS","calibration ADAS")</f>
        <v>calibration ADAS</v>
      </c>
      <c r="C73" s="34">
        <f>IF(C32=0,0,C$70/60*C51/C33)</f>
        <v>0</v>
      </c>
    </row>
    <row r="74" spans="1:4">
      <c r="A74" s="19" t="s">
        <v>304</v>
      </c>
      <c r="B74" s="41" t="str">
        <f>IF('TAB 1'!$H$1="NL","kalibratie koplampen","calibration phares")</f>
        <v>calibration phares</v>
      </c>
      <c r="C74" s="34">
        <f>IF(C35=0,0,C$70/60*C55/C36)</f>
        <v>0</v>
      </c>
    </row>
    <row r="75" spans="1:4">
      <c r="A75" s="19" t="s">
        <v>304</v>
      </c>
      <c r="B75" s="41" t="s">
        <v>307</v>
      </c>
      <c r="C75" s="34">
        <f>IF(C38=0,0,C$70/60*C59/C39)</f>
        <v>0</v>
      </c>
    </row>
    <row r="76" spans="1:4">
      <c r="A76" s="19" t="s">
        <v>300</v>
      </c>
      <c r="B76" s="16" t="str">
        <f>IF('TAB 1'!$H$1="NL","","")</f>
        <v/>
      </c>
      <c r="C76" s="48"/>
    </row>
    <row r="77" spans="1:4" ht="12.95">
      <c r="A77" s="19" t="s">
        <v>300</v>
      </c>
      <c r="B77" s="17" t="str">
        <f>IF('TAB 1'!$H$1="NL","2.5 Totale kosten per controle/diagnose/kalibratie ADAS/kalibratie koplampen/macsRemote Services(euro)","2.5 Coût total par contrôle/diagnosticss/calibration ADAS/calibration phares (euro)")</f>
        <v>2.5 Coût total par contrôle/diagnosticss/calibration ADAS/calibration phares (euro)</v>
      </c>
      <c r="C77" s="48"/>
    </row>
    <row r="78" spans="1:4">
      <c r="A78" s="19" t="s">
        <v>301</v>
      </c>
      <c r="B78" s="41" t="str">
        <f>IF('TAB 1'!$H$1="NL","controle bij onderhoudsbeurt","contrôle durant service de entretien")</f>
        <v>contrôle durant service de entretien</v>
      </c>
      <c r="C78" s="49" t="e">
        <f>C63+C71</f>
        <v>#VALUE!</v>
      </c>
    </row>
    <row r="79" spans="1:4">
      <c r="A79" s="19" t="s">
        <v>301</v>
      </c>
      <c r="B79" s="41" t="str">
        <f>IF('TAB 1'!$H$1="NL","diagnose bij storing","diagnostics àpres panne")</f>
        <v>diagnostics àpres panne</v>
      </c>
      <c r="C79" s="49" t="e">
        <f>C64+C72</f>
        <v>#VALUE!</v>
      </c>
    </row>
    <row r="80" spans="1:4">
      <c r="A80" s="19" t="s">
        <v>304</v>
      </c>
      <c r="B80" s="41" t="str">
        <f>IF('TAB 1'!$H$1="NL","kalibratie ADAS","calibration ADAS")</f>
        <v>calibration ADAS</v>
      </c>
      <c r="C80" s="49" t="e">
        <f>C65+C73</f>
        <v>#VALUE!</v>
      </c>
    </row>
    <row r="81" spans="1:4">
      <c r="A81" s="19" t="s">
        <v>304</v>
      </c>
      <c r="B81" s="41" t="str">
        <f>IF('TAB 1'!$H$1="NL","kalibratie koplampen","calibration phares")</f>
        <v>calibration phares</v>
      </c>
      <c r="C81" s="49" t="e">
        <f>C66+C74</f>
        <v>#VALUE!</v>
      </c>
    </row>
    <row r="82" spans="1:4">
      <c r="A82" s="19" t="s">
        <v>304</v>
      </c>
      <c r="B82" s="41" t="s">
        <v>307</v>
      </c>
      <c r="C82" s="49" t="e">
        <f>C67+C75</f>
        <v>#VALUE!</v>
      </c>
    </row>
    <row r="83" spans="1:4">
      <c r="A83" s="19" t="s">
        <v>300</v>
      </c>
      <c r="B83" s="16" t="str">
        <f>IF('TAB 1'!$H$1="NL","","")</f>
        <v/>
      </c>
      <c r="C83" s="31"/>
    </row>
    <row r="84" spans="1:4" ht="12.95">
      <c r="A84" s="19" t="s">
        <v>300</v>
      </c>
      <c r="B84" s="17" t="str">
        <f>IF('TAB 1'!$H$1="NL","2.6 Klantentarief excl BTW ","2.6 Prix client hors TVA")</f>
        <v>2.6 Prix client hors TVA</v>
      </c>
      <c r="C84" s="31"/>
    </row>
    <row r="85" spans="1:4">
      <c r="A85" s="19" t="s">
        <v>301</v>
      </c>
      <c r="B85" s="41" t="str">
        <f>IF('TAB 1'!$H$1="NL","controle bij onderhoudsbeurt","contrôle durant service de entretien")</f>
        <v>contrôle durant service de entretien</v>
      </c>
      <c r="C85" s="15">
        <v>20</v>
      </c>
    </row>
    <row r="86" spans="1:4">
      <c r="A86" s="19" t="s">
        <v>301</v>
      </c>
      <c r="B86" s="41" t="str">
        <f>IF('TAB 1'!$H$1="NL","diagnose bij storing","diagnostics àpres panne")</f>
        <v>diagnostics àpres panne</v>
      </c>
      <c r="C86" s="15">
        <v>60</v>
      </c>
    </row>
    <row r="87" spans="1:4">
      <c r="A87" s="19" t="s">
        <v>304</v>
      </c>
      <c r="B87" s="41" t="str">
        <f>IF('TAB 1'!$H$1="NL","kalibratie ADAS","calibration ADAS")</f>
        <v>calibration ADAS</v>
      </c>
      <c r="C87" s="15">
        <v>60</v>
      </c>
    </row>
    <row r="88" spans="1:4">
      <c r="A88" s="19" t="s">
        <v>304</v>
      </c>
      <c r="B88" s="41" t="str">
        <f>IF('TAB 1'!$H$1="NL","kalibratie koplampen","calibration phares")</f>
        <v>calibration phares</v>
      </c>
      <c r="C88" s="15">
        <v>20</v>
      </c>
    </row>
    <row r="89" spans="1:4">
      <c r="A89" s="19" t="s">
        <v>304</v>
      </c>
      <c r="B89" s="41" t="s">
        <v>307</v>
      </c>
      <c r="C89" s="15">
        <v>80</v>
      </c>
    </row>
    <row r="90" spans="1:4">
      <c r="A90" s="19" t="s">
        <v>300</v>
      </c>
      <c r="B90" s="16" t="str">
        <f>IF('TAB 1'!$H$1="NL","","")</f>
        <v/>
      </c>
      <c r="C90" s="31"/>
    </row>
    <row r="91" spans="1:4" ht="12.95">
      <c r="A91" s="19" t="s">
        <v>300</v>
      </c>
      <c r="B91" s="17" t="str">
        <f>IF('TAB 1'!$H$1="NL","3.1 Kosten/baten analyse","3.1 Analyse coût-bénéfice")</f>
        <v>3.1 Analyse coût-bénéfice</v>
      </c>
      <c r="C91" s="31"/>
    </row>
    <row r="92" spans="1:4" ht="12.95">
      <c r="A92" s="19" t="s">
        <v>300</v>
      </c>
      <c r="B92" s="41" t="str">
        <f>IF('TAB 1'!$H$1="NL","Totale kosten controle/diagnose/kalibratie ADAS/kalibratie koplampen/macsRemote Services","Coût total contrôle/diagnostics/calibration ADAS/calibration phares/macsRemote Services")</f>
        <v>Coût total contrôle/diagnostics/calibration ADAS/calibration phares/macsRemote Services</v>
      </c>
      <c r="C92" s="50" t="str">
        <f>IF('TAB 1'!$H$1="NL",IF(C44="FOUT"," FOUT",IF(IF($D$26="",0,1)+IF($D$29="",0,1)+IF($D$32="",0,1)+IF($D$35="",0,1)+IF($D$38="",0,1)&gt;0,"FOUT ",C78*C27+C79*C30+C80*C33+C81*C36+C82*C39)),IF('TAB 1'!$H$1="FR",IF(C44="ERREUR"," ERREUR",IF(IF($D$26="",0,1)+IF($D$29="",0,1)+IF($D$32="",0,1)+IF($D$35="",0,1)+IF($D$38="",0,1)&gt;0,"ERREUR ",C78*C27+C79*C30+C80*C33+C81*C36+C82*C39)),"Check taal / langue"))</f>
        <v>Check taal / langue</v>
      </c>
      <c r="D92" s="27" t="str">
        <f>IF('TAB 1'!$H$1="NL",IF(C92="FOUT ","Ontbrekend equipment, zie opmerkingen bij 2.1",IF(C92=" FOUT","Geef bij 2.1 in de gele cellen de aantallen aan","")),IF('TAB 1'!$H$1="FR",IF(C92="ERREUR ","Equipement manquant, voir les notes relatives à la section 2.1",IF(C92=" ERREUR","En 2.1 dans les cellules jaunes, indiquer les nombres","")),""))</f>
        <v/>
      </c>
    </row>
    <row r="93" spans="1:4" ht="12.95">
      <c r="A93" s="19" t="s">
        <v>300</v>
      </c>
      <c r="B93" s="41" t="str">
        <f>IF('TAB 1'!$H$1="NL","Totale omzet controle/diagnose/kalibratie ADAS/kalibratie koplampen/macsRemote Services","Chiffre d'affaires total contrôle/diagnostics/calibration ADAS/calibration phares/macsRemote Services")</f>
        <v>Chiffre d'affaires total contrôle/diagnostics/calibration ADAS/calibration phares/macsRemote Services</v>
      </c>
      <c r="C93" s="50" t="str">
        <f>IF('TAB 1'!$H$1="NL",IF(C44="FOUT"," FOUT",IF(IF($D$26="",0,1)+IF($D$29="",0,1)+IF($D$32="",0,1)+IF($D$35="",0,1)+IF($D$38="",0,1)&gt;0,"FOUT ",C85*C27+C86*C30+C87*C33+C88*C36+C89*C39)),IF('TAB 1'!$H$1="FR",IF(C44="ERREUR"," ERREUR",IF(IF($D$26="",0,1)+IF($D$29="",0,1)+IF($D$32="",0,1)+IF($D$35="",0,1)+IF($D$38="",0,1)&gt;0,"ERREUR ",C85*C27+C86*C30+C87*C33+C88*C36+C89*C39)),"Check taal / langue"))</f>
        <v>Check taal / langue</v>
      </c>
      <c r="D93" s="27" t="str">
        <f>IF('TAB 1'!$H$1="NL",IF(C93="FOUT ","Ontbrekend equipment, zie opmerkingen bij 2.1",IF(C93=" FOUT","Geef bij 2.1 in de gele cellen de aantallen aan","")),IF('TAB 1'!$H$1="FR",IF(C93="ERREUR ","Equipement manquant, voir les notes relatives à la section 2.1",IF(C93=" ERREUR","En 2.1 dans les cellules jaunes, indiquer les nombres","")),""))</f>
        <v/>
      </c>
    </row>
    <row r="94" spans="1:4" ht="12.95">
      <c r="A94" s="19"/>
      <c r="C94" s="35"/>
      <c r="D94" s="27"/>
    </row>
    <row r="95" spans="1:4" ht="12.95">
      <c r="A95" s="19" t="s">
        <v>300</v>
      </c>
      <c r="B95" s="41" t="str">
        <f>IF('TAB 1'!$H$1="NL","Resultaat op controle/diagnose/kalibratie ADAS/kalibratie koplampen/macsRemote Services","Profit sur contrôle/diagnostics/calibration ADAS/calibration phares/macsRemote Services")</f>
        <v>Profit sur contrôle/diagnostics/calibration ADAS/calibration phares/macsRemote Services</v>
      </c>
      <c r="C95" s="50" t="str">
        <f>IF('TAB 1'!$H$1="NL",IF(C44="FOUT"," FOUT",IF(IF($D$26="",0,1)+IF($D$29="",0,1)+IF($D$32="",0,1)+IF($D$35="",0,1)+IF($D$38="",0,1)&gt;0,"FOUT ",C93-C92)),IF('TAB 1'!$H$1="FR",IF(C44="ERREUR"," ERREUR",IF(IF($D$26="",0,1)+IF($D$29="",0,1)+IF($D$32="",0,1)+IF($D$35="",0,1)+IF($D$38="",0,1)&gt;0,"ERREUR ",C93-C92)),"Check taal / langue"))</f>
        <v>Check taal / langue</v>
      </c>
      <c r="D95" s="27" t="str">
        <f>IF('TAB 1'!$H$1="NL",IF(C95="FOUT ","Ontbrekend equipment, zie opmerkingen bij 2.1",IF(C95=" FOUT","Geef bij 2.1 in de gele cellen de aantallen aan","")),IF('TAB 1'!$H$1="FR",IF(C95="ERREUR ","Equipement manquant, voir les notes relatives à la section 2.1",IF(C95=" ERREUR","En 2.1 dans les cellules jaunes, indiquer les nombres","")),""))</f>
        <v/>
      </c>
    </row>
    <row r="96" spans="1:4" ht="12.95">
      <c r="A96" s="19" t="s">
        <v>300</v>
      </c>
      <c r="B96" s="41" t="str">
        <f>IF('TAB 1'!$H$1="NL","Rendement op controle/diagnose/kalibratie ADAS/kalibratie koplampen/macsRemote Services","Rendement sur contrôle/diagnostics/calibration ADAS/calibration phares/macsRemote Services")</f>
        <v>Rendement sur contrôle/diagnostics/calibration ADAS/calibration phares/macsRemote Services</v>
      </c>
      <c r="C96" s="51" t="str">
        <f>IF('TAB 1'!$H$1="NL",IF(C44="FOUT"," FOUT",IF(IF($D$26="",0,1)+IF($D$29="",0,1)+IF($D$32="",0,1)+IF($D$35="",0,1)+IF($D$38="",0,1)&gt;0,"FOUT ",C95/C92)),IF('TAB 1'!$H$1="FR",IF(C44="ERREUR"," ERREUR",IF(IF($D$26="",0,1)+IF($D$29="",0,1)+IF($D$32="",0,1)+IF($D$35="",0,1)+IF($D$38="",0,1)&gt;0,"ERREUR ",C95/C92)),"Check taal / langue"))</f>
        <v>Check taal / langue</v>
      </c>
      <c r="D96" s="27" t="str">
        <f>IF('TAB 1'!$H$1="NL",IF(C96="FOUT ","Ontbrekend equipment, zie opmerkingen bij 2.1",IF(C96=" FOUT","Geef bij 2.1 in de gele cellen de aantallen aan","")),IF('TAB 1'!$H$1="FR",IF(C96="ERREUR ","Equipement manquant, voir les notes relatives à la section 2.1",IF(C96=" ERREUR","En 2.1 dans les cellules jaunes, indiquer les nombres","")),""))</f>
        <v/>
      </c>
    </row>
    <row r="97" spans="1:4" ht="12.95">
      <c r="A97" s="19"/>
      <c r="C97" s="35"/>
      <c r="D97" s="27"/>
    </row>
    <row r="98" spans="1:4" s="39" customFormat="1" ht="12.95">
      <c r="A98" s="19" t="s">
        <v>300</v>
      </c>
      <c r="B98" s="41" t="str">
        <f>IF('TAB 1'!$H$1="NL","Terugverdientijd in maanden","Temps de récupération en mois")</f>
        <v>Temps de récupération en mois</v>
      </c>
      <c r="C98" s="52" t="str">
        <f>IF('TAB 1'!$H$1="NL",IF(C95&lt;0,"Negatief resultaat, geen terugverdientijd",IF(C44="FOUT"," FOUT",IF(IF($D$26="",0,1)+IF($D$29="",0,1)+IF($D$32="",0,1)+IF($D$35="",0,1)+IF($D$38="",0,1)&gt;0,"FOUT ",CEILING(((SUM(C4:C13)+SUM(C19:C20))/C95)*12,1)))),IF('TAB 1'!$H$1="FR",IF(C95&lt;0,"Résultat négatif, pas de temps de récupération",IF(C44="ERREUR"," ERREUR",IF(IF($D$26="",0,1)+IF($D$29="",0,1)+IF($D$32="",0,1)+IF($D$35="",0,1)+IF($D$38="",0,1)&gt;0,"ERREUR ",CEILING(((SUM(C4:C13)+SUM(C19:C20))/C95)*12,1)))),"Check taal / langue"))</f>
        <v>Check taal / langue</v>
      </c>
      <c r="D98" s="27" t="str">
        <f>IF('TAB 1'!$H$1="NL",IF(C98="FOUT ","Ontbrekend equipment, zie opmerkingen bij 2.1",IF(C98=" FOUT","Geef bij 2.1 in de gele cellen de aantallen aan","")),IF('TAB 1'!$H$1="FR",IF(C98="ERREUR ","Equipement manquant, voir les notes relatives à la section 2.1",IF(C98=" ERREUR","En 2.1 dans les cellules jaunes, indiquer les nombres","")),""))</f>
        <v/>
      </c>
    </row>
    <row r="99" spans="1:4" s="39" customFormat="1" ht="12.95">
      <c r="A99" s="19" t="s">
        <v>300</v>
      </c>
      <c r="B99" s="41" t="str">
        <f>IF('TAB 1'!$H$1="NL","Terugverdientijd in jaren","Temps de récupération en années")</f>
        <v>Temps de récupération en années</v>
      </c>
      <c r="C99" s="52" t="str">
        <f>IF('TAB 1'!$H$1="NL",IF(C98="Negatief resultaat, geen terugverdientijd","Negatief resultaat, geen terugverdientijd",IF(C44="FOUT"," FOUT",IF(IF($D$26="",0,1)+IF($D$29="",0,1)+IF($D$32="",0,1)+IF($D$35="",0,1)+IF($D$38="",0,1)&gt;0,"FOUT ",C98/12))),IF('TAB 1'!$H$1="FR",IF(C98="Résultat négatif, pas de temps de récupération","Résultat négatif, pas de temps de récupération",IF(C44="ERREUR"," ERREUR",IF(IF($D$26="",0,1)+IF($D$29="",0,1)+IF($D$32="",0,1)+IF($D$35="",0,1)+IF($D$38="",0,1)&gt;0,"ERREUR ",C98/12))),"Check taal / langue"))</f>
        <v>Check taal / langue</v>
      </c>
      <c r="D99" s="27" t="str">
        <f>IF('TAB 1'!$H$1="NL",IF(C99="FOUT ","Ontbrekend equipment, zie opmerkingen bij 2.1",IF(C99=" FOUT","Geef bij 2.1 in de gele cellen de aantallen aan","")),IF('TAB 1'!$H$1="FR",IF(C99="ERREUR ","Equipement manquant, voir les notes relatives à la section 2.1",IF(C99=" ERREUR","En 2.1 dans les cellules jaunes, indiquer les nombres","")),""))</f>
        <v/>
      </c>
    </row>
  </sheetData>
  <sheetProtection algorithmName="SHA-512" hashValue="xKq1i6v9LLiuAJ11dYUQEDeAIlLIAq3xPIYwB+dWF/55PA+NIcJ6UfvBO+sO7Ijaw5SwPrwsizD1JMTI4r9sxw==" saltValue="f+dDDrygAJ2nTAHdfCSeGw==" spinCount="100000" sheet="1" objects="1" scenarios="1"/>
  <pageMargins left="0.39370078740157483" right="0" top="0.39370078740157483" bottom="0" header="0" footer="0"/>
  <pageSetup paperSize="9" scale="90" orientation="portrait" r:id="rId1"/>
  <headerFooter alignWithMargins="0">
    <oddHeader>&amp;R&amp;"Arial"&amp;9&amp;K737373Information Classification: 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D0AA35089DDC4D9A8CF47CCDA9B3C4" ma:contentTypeVersion="15" ma:contentTypeDescription="Een nieuw document maken." ma:contentTypeScope="" ma:versionID="a123be86cbba90367cbfa9c2566386a5">
  <xsd:schema xmlns:xsd="http://www.w3.org/2001/XMLSchema" xmlns:xs="http://www.w3.org/2001/XMLSchema" xmlns:p="http://schemas.microsoft.com/office/2006/metadata/properties" xmlns:ns2="4071694c-f890-42d1-9db7-f295193253a2" xmlns:ns3="4087187c-7f6c-42f5-95bc-f9c258b4635b" xmlns:ns4="c1c5d6fe-4f1f-4df3-b047-ac61e31ae760" targetNamespace="http://schemas.microsoft.com/office/2006/metadata/properties" ma:root="true" ma:fieldsID="ab1b11d1632e087024a59f943e8122b8" ns2:_="" ns3:_="" ns4:_="">
    <xsd:import namespace="4071694c-f890-42d1-9db7-f295193253a2"/>
    <xsd:import namespace="4087187c-7f6c-42f5-95bc-f9c258b4635b"/>
    <xsd:import namespace="c1c5d6fe-4f1f-4df3-b047-ac61e31ae760"/>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1694c-f890-42d1-9db7-f295193253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b1dce9fa-2dbd-4ccb-be28-b39e0d83356f"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087187c-7f6c-42f5-95bc-f9c258b4635b"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c5d6fe-4f1f-4df3-b047-ac61e31ae76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bc55c0a9-5d77-4865-93a2-606813e869e0}" ma:internalName="TaxCatchAll" ma:showField="CatchAllData" ma:web="4087187c-7f6c-42f5-95bc-f9c258b4635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EB5706-B7F1-4820-BB50-C7781F14F769}"/>
</file>

<file path=customXml/itemProps2.xml><?xml version="1.0" encoding="utf-8"?>
<ds:datastoreItem xmlns:ds="http://schemas.openxmlformats.org/officeDocument/2006/customXml" ds:itemID="{104A45E5-3C14-4C82-9148-5B8B411081E0}"/>
</file>

<file path=docProps/app.xml><?xml version="1.0" encoding="utf-8"?>
<Properties xmlns="http://schemas.openxmlformats.org/officeDocument/2006/extended-properties" xmlns:vt="http://schemas.openxmlformats.org/officeDocument/2006/docPropsVTypes">
  <Application>Microsoft Excel Online</Application>
  <Manager/>
  <Company>Hella BV</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Alonso</dc:creator>
  <cp:keywords/>
  <dc:description/>
  <cp:lastModifiedBy/>
  <cp:revision/>
  <dcterms:created xsi:type="dcterms:W3CDTF">2009-04-14T07:03:48Z</dcterms:created>
  <dcterms:modified xsi:type="dcterms:W3CDTF">2023-05-09T08:07:46Z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731df75-0a72-42d5-9cc1-0c4dcec1599e_Enabled">
    <vt:lpwstr>true</vt:lpwstr>
  </property>
  <property fmtid="{D5CDD505-2E9C-101B-9397-08002B2CF9AE}" pid="3" name="MSIP_Label_f731df75-0a72-42d5-9cc1-0c4dcec1599e_SetDate">
    <vt:lpwstr>2023-05-09T06:57:07Z</vt:lpwstr>
  </property>
  <property fmtid="{D5CDD505-2E9C-101B-9397-08002B2CF9AE}" pid="4" name="MSIP_Label_f731df75-0a72-42d5-9cc1-0c4dcec1599e_Method">
    <vt:lpwstr>Privileged</vt:lpwstr>
  </property>
  <property fmtid="{D5CDD505-2E9C-101B-9397-08002B2CF9AE}" pid="5" name="MSIP_Label_f731df75-0a72-42d5-9cc1-0c4dcec1599e_Name">
    <vt:lpwstr>f731df75-0a72-42d5-9cc1-0c4dcec1599e</vt:lpwstr>
  </property>
  <property fmtid="{D5CDD505-2E9C-101B-9397-08002B2CF9AE}" pid="6" name="MSIP_Label_f731df75-0a72-42d5-9cc1-0c4dcec1599e_SiteId">
    <vt:lpwstr>2d5eb7e2-d3ee-4bf5-bc62-79d5ae9cd9e1</vt:lpwstr>
  </property>
  <property fmtid="{D5CDD505-2E9C-101B-9397-08002B2CF9AE}" pid="7" name="MSIP_Label_f731df75-0a72-42d5-9cc1-0c4dcec1599e_ActionId">
    <vt:lpwstr>fa8a559d-eda5-468b-af17-adf87d8e39ae</vt:lpwstr>
  </property>
  <property fmtid="{D5CDD505-2E9C-101B-9397-08002B2CF9AE}" pid="8" name="MSIP_Label_f731df75-0a72-42d5-9cc1-0c4dcec1599e_ContentBits">
    <vt:lpwstr>1</vt:lpwstr>
  </property>
</Properties>
</file>